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Z:\1-Publications\01-Reports\EEAA\Supplemental Data\"/>
    </mc:Choice>
  </mc:AlternateContent>
  <xr:revisionPtr revIDLastSave="0" documentId="8_{9098BD3B-80EC-4A92-9633-8D9E1359CF06}" xr6:coauthVersionLast="47" xr6:coauthVersionMax="47" xr10:uidLastSave="{00000000-0000-0000-0000-000000000000}"/>
  <bookViews>
    <workbookView xWindow="-110" yWindow="-110" windowWidth="19420" windowHeight="10420" xr2:uid="{00000000-000D-0000-FFFF-FFFF00000000}"/>
  </bookViews>
  <sheets>
    <sheet name="Contents" sheetId="4" r:id="rId1"/>
    <sheet name="1. Instructions" sheetId="6" r:id="rId2"/>
    <sheet name="2. LCS Detail 2023" sheetId="3" r:id="rId3"/>
    <sheet name="3. Definitions" sheetId="5" r:id="rId4"/>
  </sheets>
  <externalReferences>
    <externalReference r:id="rId5"/>
    <externalReference r:id="rId6"/>
    <externalReference r:id="rId7"/>
  </externalReferences>
  <definedNames>
    <definedName name="_1INT_DEBT" localSheetId="0">#REF!</definedName>
    <definedName name="_1INT_DEBT">#REF!</definedName>
    <definedName name="_xlnm._FilterDatabase" localSheetId="2" hidden="1">'2. LCS Detail 2023'!$A$6:$N$2131</definedName>
    <definedName name="BACKUP" localSheetId="0">#REF!</definedName>
    <definedName name="BACKUP">#REF!</definedName>
    <definedName name="BASELINE" localSheetId="0">#REF!</definedName>
    <definedName name="BASELINE">#REF!</definedName>
    <definedName name="DOLLARS">#REF!</definedName>
    <definedName name="fromyear">[1]Data!$B$24</definedName>
    <definedName name="GROWTH">#REF!</definedName>
    <definedName name="GRWTH">#REF!</definedName>
    <definedName name="newbase">[2]Data!$C$3</definedName>
    <definedName name="OFFBUD">#REF!</definedName>
    <definedName name="oldbase">[2]Data!$C$2</definedName>
    <definedName name="_xlnm.Print_Area">#REF!</definedName>
    <definedName name="Print_Area2">'[3]Growth rates'!$B$3:$M$61</definedName>
    <definedName name="print_area3">#REF!</definedName>
    <definedName name="_xlnm.Print_Titles">#N/A</definedName>
    <definedName name="SOG">#REF!</definedName>
    <definedName name="toyear">[1]Data!$B$25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3" l="1"/>
  <c r="G8" i="3"/>
  <c r="G9" i="3"/>
  <c r="G15" i="3"/>
  <c r="G16" i="3"/>
  <c r="G17" i="3"/>
  <c r="G18" i="3"/>
  <c r="G19" i="3"/>
  <c r="G20" i="3"/>
  <c r="G21" i="3"/>
  <c r="G22" i="3"/>
  <c r="G23" i="3"/>
  <c r="G24" i="3"/>
  <c r="G25" i="3"/>
  <c r="G26" i="3"/>
  <c r="G27" i="3"/>
  <c r="G28" i="3"/>
  <c r="G29" i="3"/>
  <c r="G30" i="3"/>
  <c r="G33" i="3"/>
  <c r="G34" i="3"/>
  <c r="G35" i="3"/>
  <c r="G36" i="3"/>
  <c r="G37" i="3"/>
  <c r="G38" i="3"/>
  <c r="G39" i="3"/>
  <c r="G44" i="3"/>
  <c r="G45" i="3"/>
  <c r="G46" i="3"/>
  <c r="G48" i="3"/>
  <c r="G50" i="3"/>
  <c r="G54" i="3"/>
  <c r="G56" i="3"/>
  <c r="G58" i="3"/>
  <c r="G72" i="3"/>
  <c r="G74" i="3"/>
  <c r="G75" i="3"/>
  <c r="G77" i="3"/>
  <c r="G78" i="3"/>
  <c r="G79" i="3"/>
  <c r="G80" i="3"/>
  <c r="G81" i="3"/>
  <c r="G82" i="3"/>
  <c r="G83" i="3"/>
  <c r="G85" i="3"/>
  <c r="G86" i="3"/>
  <c r="G91" i="3"/>
  <c r="G92" i="3"/>
  <c r="G93" i="3"/>
  <c r="G94" i="3"/>
  <c r="G95" i="3"/>
  <c r="G96" i="3"/>
  <c r="G97" i="3"/>
  <c r="G98" i="3"/>
  <c r="G100" i="3"/>
  <c r="G101" i="3"/>
  <c r="G102" i="3"/>
  <c r="G103" i="3"/>
  <c r="G104" i="3"/>
  <c r="G105" i="3"/>
  <c r="G106" i="3"/>
  <c r="G112" i="3"/>
  <c r="G113" i="3"/>
  <c r="G114" i="3"/>
  <c r="G122" i="3"/>
  <c r="G120" i="3"/>
  <c r="G121" i="3"/>
  <c r="G119" i="3"/>
  <c r="G123" i="3"/>
  <c r="G124" i="3"/>
  <c r="G125" i="3"/>
  <c r="G129" i="3"/>
  <c r="G130" i="3"/>
  <c r="G131"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9" i="3"/>
  <c r="G160" i="3"/>
  <c r="G161" i="3"/>
  <c r="G162" i="3"/>
  <c r="G167" i="3"/>
  <c r="G169" i="3"/>
  <c r="G175" i="3"/>
  <c r="G178" i="3"/>
  <c r="G184" i="3"/>
  <c r="G185" i="3"/>
  <c r="G186" i="3"/>
  <c r="G210" i="3"/>
  <c r="G215" i="3"/>
  <c r="G216" i="3"/>
  <c r="G217" i="3"/>
  <c r="G218" i="3"/>
  <c r="G219" i="3"/>
  <c r="G220" i="3"/>
  <c r="G223" i="3"/>
  <c r="G224" i="3"/>
  <c r="G226" i="3"/>
  <c r="G237" i="3"/>
  <c r="G241" i="3"/>
  <c r="G242" i="3"/>
  <c r="G243" i="3"/>
  <c r="G247" i="3"/>
  <c r="G251" i="3"/>
  <c r="G253" i="3"/>
  <c r="G254" i="3"/>
  <c r="G255" i="3"/>
  <c r="G256" i="3"/>
  <c r="G257" i="3"/>
  <c r="G258" i="3"/>
  <c r="G259" i="3"/>
  <c r="G262" i="3"/>
  <c r="G263" i="3"/>
  <c r="G264" i="3"/>
  <c r="G266" i="3"/>
  <c r="G269" i="3"/>
  <c r="G270" i="3"/>
  <c r="G272" i="3"/>
  <c r="G273" i="3"/>
  <c r="G274" i="3"/>
  <c r="G275" i="3"/>
  <c r="G276" i="3"/>
  <c r="G277" i="3"/>
  <c r="G278" i="3"/>
  <c r="G279" i="3"/>
  <c r="G280" i="3"/>
  <c r="G281" i="3"/>
  <c r="G282" i="3"/>
  <c r="G283" i="3"/>
  <c r="G284" i="3"/>
  <c r="G289" i="3"/>
  <c r="G290" i="3"/>
  <c r="G291" i="3"/>
  <c r="G292" i="3"/>
  <c r="G297" i="3"/>
  <c r="G298" i="3"/>
  <c r="G299" i="3"/>
  <c r="G300" i="3"/>
  <c r="G301" i="3"/>
  <c r="G302" i="3"/>
  <c r="G304" i="3"/>
  <c r="G359" i="3"/>
  <c r="G363" i="3"/>
  <c r="G364" i="3"/>
  <c r="G369" i="3"/>
  <c r="G370" i="3"/>
  <c r="G377" i="3"/>
  <c r="G401" i="3"/>
  <c r="G402" i="3"/>
  <c r="G404" i="3"/>
  <c r="G405" i="3"/>
  <c r="G409" i="3"/>
  <c r="G410" i="3"/>
  <c r="G411" i="3"/>
  <c r="G415" i="3"/>
  <c r="G417" i="3"/>
  <c r="G425" i="3"/>
  <c r="G426" i="3"/>
  <c r="G427" i="3"/>
  <c r="G428" i="3"/>
  <c r="G429" i="3"/>
  <c r="G430" i="3"/>
  <c r="G431" i="3"/>
  <c r="G432" i="3"/>
  <c r="G433" i="3"/>
  <c r="G434" i="3"/>
  <c r="G435" i="3"/>
  <c r="G436" i="3"/>
  <c r="G438" i="3"/>
  <c r="G439" i="3"/>
  <c r="G440" i="3"/>
  <c r="G443" i="3"/>
  <c r="G444" i="3"/>
  <c r="G447" i="3"/>
  <c r="G450" i="3"/>
  <c r="G452" i="3"/>
  <c r="G457" i="3"/>
  <c r="G461" i="3"/>
  <c r="G462" i="3"/>
  <c r="G463" i="3"/>
  <c r="G464" i="3"/>
  <c r="G466" i="3"/>
  <c r="G467" i="3"/>
  <c r="G468" i="3"/>
  <c r="G470" i="3"/>
  <c r="G471" i="3"/>
  <c r="G472" i="3"/>
  <c r="G473" i="3"/>
  <c r="G474" i="3"/>
  <c r="G475" i="3"/>
  <c r="G478" i="3"/>
  <c r="G485" i="3"/>
  <c r="G486" i="3"/>
  <c r="G487" i="3"/>
  <c r="G489" i="3"/>
  <c r="G578" i="3"/>
  <c r="G492" i="3"/>
  <c r="G499" i="3"/>
  <c r="G503" i="3"/>
  <c r="G509" i="3"/>
  <c r="G532" i="3"/>
  <c r="G545" i="3"/>
  <c r="G547" i="3"/>
  <c r="G551" i="3"/>
  <c r="G559" i="3"/>
  <c r="G560" i="3"/>
  <c r="G563" i="3"/>
  <c r="G564" i="3"/>
  <c r="G565" i="3"/>
  <c r="G566" i="3"/>
  <c r="G567" i="3"/>
  <c r="G568" i="3"/>
  <c r="G570" i="3"/>
  <c r="G571" i="3"/>
  <c r="G572" i="3"/>
  <c r="G573" i="3"/>
  <c r="G574" i="3"/>
  <c r="G577" i="3"/>
  <c r="G582" i="3"/>
  <c r="G583" i="3"/>
  <c r="G584" i="3"/>
  <c r="G585" i="3"/>
  <c r="G586" i="3"/>
  <c r="G587" i="3"/>
  <c r="G588" i="3"/>
  <c r="G589" i="3"/>
  <c r="G590" i="3"/>
  <c r="G592" i="3"/>
  <c r="G593" i="3"/>
  <c r="G594" i="3"/>
  <c r="G595" i="3"/>
  <c r="G591" i="3"/>
  <c r="G596" i="3"/>
  <c r="G597" i="3"/>
  <c r="G598" i="3"/>
  <c r="G599" i="3"/>
  <c r="G600" i="3"/>
  <c r="G602" i="3"/>
  <c r="G579" i="3"/>
  <c r="G603" i="3"/>
  <c r="G488" i="3"/>
  <c r="G604" i="3"/>
  <c r="G605" i="3"/>
  <c r="G606" i="3"/>
  <c r="G607" i="3"/>
  <c r="G608" i="3"/>
  <c r="G609" i="3"/>
  <c r="G610" i="3"/>
  <c r="G611" i="3"/>
  <c r="G612" i="3"/>
  <c r="G613" i="3"/>
  <c r="G614" i="3"/>
  <c r="G615" i="3"/>
  <c r="G616" i="3"/>
  <c r="G617" i="3"/>
  <c r="G618" i="3"/>
  <c r="G619" i="3"/>
  <c r="G620" i="3"/>
  <c r="G621" i="3"/>
  <c r="G622" i="3"/>
  <c r="G623" i="3"/>
  <c r="G624" i="3"/>
  <c r="G692" i="3"/>
  <c r="G693" i="3"/>
  <c r="G625" i="3"/>
  <c r="G626" i="3"/>
  <c r="G627" i="3"/>
  <c r="G628" i="3"/>
  <c r="G629" i="3"/>
  <c r="G633" i="3"/>
  <c r="G635" i="3"/>
  <c r="G637" i="3"/>
  <c r="G642" i="3"/>
  <c r="G658" i="3"/>
  <c r="G660" i="3"/>
  <c r="G694" i="3"/>
  <c r="G695" i="3"/>
  <c r="G696" i="3"/>
  <c r="G697" i="3"/>
  <c r="G698" i="3"/>
  <c r="G699" i="3"/>
  <c r="G700" i="3"/>
  <c r="G701" i="3"/>
  <c r="G702" i="3"/>
  <c r="G703" i="3"/>
  <c r="G779" i="3"/>
  <c r="G825" i="3"/>
  <c r="G713" i="3"/>
  <c r="G714" i="3"/>
  <c r="G715" i="3"/>
  <c r="G716" i="3"/>
  <c r="G718" i="3"/>
  <c r="G719" i="3"/>
  <c r="G720" i="3"/>
  <c r="G721" i="3"/>
  <c r="G722" i="3"/>
  <c r="G723" i="3"/>
  <c r="G724" i="3"/>
  <c r="G725" i="3"/>
  <c r="G726" i="3"/>
  <c r="G727" i="3"/>
  <c r="G728" i="3"/>
  <c r="G729" i="3"/>
  <c r="G730" i="3"/>
  <c r="G731" i="3"/>
  <c r="G732" i="3"/>
  <c r="G733" i="3"/>
  <c r="G734" i="3"/>
  <c r="G735" i="3"/>
  <c r="G736" i="3"/>
  <c r="G738" i="3"/>
  <c r="G739" i="3"/>
  <c r="G740" i="3"/>
  <c r="G741" i="3"/>
  <c r="G742" i="3"/>
  <c r="G743" i="3"/>
  <c r="G744" i="3"/>
  <c r="G745" i="3"/>
  <c r="G746" i="3"/>
  <c r="G747" i="3"/>
  <c r="G748" i="3"/>
  <c r="G749" i="3"/>
  <c r="G750" i="3"/>
  <c r="G751" i="3"/>
  <c r="G752" i="3"/>
  <c r="G753" i="3"/>
  <c r="G754" i="3"/>
  <c r="G755" i="3"/>
  <c r="G756" i="3"/>
  <c r="G757" i="3"/>
  <c r="G758" i="3"/>
  <c r="G759" i="3"/>
  <c r="G760" i="3"/>
  <c r="G761" i="3"/>
  <c r="G763" i="3"/>
  <c r="G764" i="3"/>
  <c r="G765" i="3"/>
  <c r="G766" i="3"/>
  <c r="G767" i="3"/>
  <c r="G768" i="3"/>
  <c r="G769" i="3"/>
  <c r="G770" i="3"/>
  <c r="G771" i="3"/>
  <c r="G772" i="3"/>
  <c r="G773" i="3"/>
  <c r="G774" i="3"/>
  <c r="G775" i="3"/>
  <c r="G776" i="3"/>
  <c r="G777" i="3"/>
  <c r="G778" i="3"/>
  <c r="G843" i="3"/>
  <c r="G780" i="3"/>
  <c r="G782" i="3"/>
  <c r="G783" i="3"/>
  <c r="G785" i="3"/>
  <c r="G790" i="3"/>
  <c r="G791" i="3"/>
  <c r="G792" i="3"/>
  <c r="G793" i="3"/>
  <c r="G794" i="3"/>
  <c r="G795" i="3"/>
  <c r="G796" i="3"/>
  <c r="G797" i="3"/>
  <c r="G798" i="3"/>
  <c r="G799" i="3"/>
  <c r="G800" i="3"/>
  <c r="G801" i="3"/>
  <c r="G802" i="3"/>
  <c r="G806" i="3"/>
  <c r="G815" i="3"/>
  <c r="G816" i="3"/>
  <c r="G818" i="3"/>
  <c r="G820" i="3"/>
  <c r="G821" i="3"/>
  <c r="G832" i="3"/>
  <c r="G834" i="3"/>
  <c r="G835" i="3"/>
  <c r="G836" i="3"/>
  <c r="G837" i="3"/>
  <c r="G838" i="3"/>
  <c r="G842" i="3"/>
  <c r="G839" i="3"/>
  <c r="G840" i="3"/>
  <c r="G580" i="3"/>
  <c r="G581" i="3"/>
  <c r="G850" i="3"/>
  <c r="G854" i="3"/>
  <c r="G861" i="3"/>
  <c r="G863" i="3"/>
  <c r="G864" i="3"/>
  <c r="G865" i="3"/>
  <c r="G866" i="3"/>
  <c r="G867" i="3"/>
  <c r="G868" i="3"/>
  <c r="G869" i="3"/>
  <c r="G870" i="3"/>
  <c r="G871"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6" i="3"/>
  <c r="G907" i="3"/>
  <c r="G908" i="3"/>
  <c r="G909" i="3"/>
  <c r="G910" i="3"/>
  <c r="G911" i="3"/>
  <c r="G912" i="3"/>
  <c r="G913" i="3"/>
  <c r="G914" i="3"/>
  <c r="G915" i="3"/>
  <c r="G916" i="3"/>
  <c r="G917"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8" i="3"/>
  <c r="G950" i="3"/>
  <c r="G951" i="3"/>
  <c r="G953" i="3"/>
  <c r="G954" i="3"/>
  <c r="G955" i="3"/>
  <c r="G956" i="3"/>
  <c r="G957" i="3"/>
  <c r="G958" i="3"/>
  <c r="G964" i="3"/>
  <c r="G965" i="3"/>
  <c r="G966" i="3"/>
  <c r="G967" i="3"/>
  <c r="G968" i="3"/>
  <c r="G969" i="3"/>
  <c r="G970" i="3"/>
  <c r="G971" i="3"/>
  <c r="G973" i="3"/>
  <c r="G982" i="3"/>
  <c r="G987" i="3"/>
  <c r="G988" i="3"/>
  <c r="G989" i="3"/>
  <c r="G990" i="3"/>
  <c r="G991" i="3"/>
  <c r="G992" i="3"/>
  <c r="G993" i="3"/>
  <c r="G996" i="3"/>
  <c r="G997" i="3"/>
  <c r="G998" i="3"/>
  <c r="G999" i="3"/>
  <c r="G1002" i="3"/>
  <c r="G1013" i="3"/>
  <c r="G1047" i="3"/>
  <c r="G1048" i="3"/>
  <c r="G1073" i="3"/>
  <c r="G1019" i="3"/>
  <c r="G1022" i="3"/>
  <c r="G1023" i="3"/>
  <c r="G1024" i="3"/>
  <c r="G1025" i="3"/>
  <c r="G1026" i="3"/>
  <c r="G1027" i="3"/>
  <c r="G1028" i="3"/>
  <c r="G1029" i="3"/>
  <c r="G1030" i="3"/>
  <c r="G1033" i="3"/>
  <c r="G1034" i="3"/>
  <c r="G1035" i="3"/>
  <c r="G1036" i="3"/>
  <c r="G1037" i="3"/>
  <c r="G1038" i="3"/>
  <c r="G1039" i="3"/>
  <c r="G1040" i="3"/>
  <c r="G1041" i="3"/>
  <c r="G1042" i="3"/>
  <c r="G1043" i="3"/>
  <c r="G1044" i="3"/>
  <c r="G1313" i="3"/>
  <c r="G1314" i="3"/>
  <c r="G1315" i="3"/>
  <c r="G1049" i="3"/>
  <c r="G1050" i="3"/>
  <c r="G1051" i="3"/>
  <c r="G1062" i="3"/>
  <c r="G1063" i="3"/>
  <c r="G1064" i="3"/>
  <c r="G1067" i="3"/>
  <c r="G1068" i="3"/>
  <c r="G1071" i="3"/>
  <c r="G1072" i="3"/>
  <c r="G1285" i="3"/>
  <c r="G1074" i="3"/>
  <c r="G1075" i="3"/>
  <c r="G1076" i="3"/>
  <c r="G1077" i="3"/>
  <c r="G1078" i="3"/>
  <c r="G1082" i="3"/>
  <c r="G1083" i="3"/>
  <c r="G1084" i="3"/>
  <c r="G1085" i="3"/>
  <c r="G1086" i="3"/>
  <c r="G1087" i="3"/>
  <c r="G1089" i="3"/>
  <c r="G1090" i="3"/>
  <c r="G1091" i="3"/>
  <c r="G1092" i="3"/>
  <c r="G1093" i="3"/>
  <c r="G1094" i="3"/>
  <c r="G1095" i="3"/>
  <c r="G1096" i="3"/>
  <c r="G1097" i="3"/>
  <c r="G1098" i="3"/>
  <c r="G1099" i="3"/>
  <c r="G1100" i="3"/>
  <c r="G1101" i="3"/>
  <c r="G1102" i="3"/>
  <c r="G1103" i="3"/>
  <c r="G1104" i="3"/>
  <c r="G1105" i="3"/>
  <c r="G1106" i="3"/>
  <c r="G1107" i="3"/>
  <c r="G1108" i="3"/>
  <c r="G1109" i="3"/>
  <c r="G1110" i="3"/>
  <c r="G1111" i="3"/>
  <c r="G1112" i="3"/>
  <c r="G1113" i="3"/>
  <c r="G1114" i="3"/>
  <c r="G1115" i="3"/>
  <c r="G1116" i="3"/>
  <c r="G1117" i="3"/>
  <c r="G1118" i="3"/>
  <c r="G1119" i="3"/>
  <c r="G1120" i="3"/>
  <c r="G1121" i="3"/>
  <c r="G1122" i="3"/>
  <c r="G1124" i="3"/>
  <c r="G1125" i="3"/>
  <c r="G1126" i="3"/>
  <c r="G1127" i="3"/>
  <c r="G1129" i="3"/>
  <c r="G1133" i="3"/>
  <c r="G1134" i="3"/>
  <c r="G1135" i="3"/>
  <c r="G1136" i="3"/>
  <c r="G1137" i="3"/>
  <c r="G1138" i="3"/>
  <c r="G1139" i="3"/>
  <c r="G1140" i="3"/>
  <c r="G1141" i="3"/>
  <c r="G1142" i="3"/>
  <c r="G1143" i="3"/>
  <c r="G1144" i="3"/>
  <c r="G1145" i="3"/>
  <c r="G1146" i="3"/>
  <c r="G1147" i="3"/>
  <c r="G1246" i="3"/>
  <c r="G1277" i="3"/>
  <c r="G1278" i="3"/>
  <c r="G1279" i="3"/>
  <c r="G1280" i="3"/>
  <c r="G1281" i="3"/>
  <c r="G1282" i="3"/>
  <c r="G1283" i="3"/>
  <c r="G1286" i="3"/>
  <c r="G1015" i="3"/>
  <c r="G1016" i="3"/>
  <c r="G1017" i="3"/>
  <c r="G1046" i="3"/>
  <c r="G1290" i="3"/>
  <c r="G1291" i="3"/>
  <c r="G1292" i="3"/>
  <c r="G1293" i="3"/>
  <c r="G1294" i="3"/>
  <c r="G1295" i="3"/>
  <c r="G1296" i="3"/>
  <c r="G1297" i="3"/>
  <c r="G1298" i="3"/>
  <c r="G1299" i="3"/>
  <c r="G1300" i="3"/>
  <c r="G1301" i="3"/>
  <c r="G1302" i="3"/>
  <c r="G1303" i="3"/>
  <c r="G1304" i="3"/>
  <c r="G1305" i="3"/>
  <c r="G1306" i="3"/>
  <c r="G1418" i="3"/>
  <c r="G1419" i="3"/>
  <c r="G1420" i="3"/>
  <c r="G1421" i="3"/>
  <c r="G1317" i="3"/>
  <c r="G1318" i="3"/>
  <c r="G1319" i="3"/>
  <c r="G1320" i="3"/>
  <c r="G1321" i="3"/>
  <c r="G1322" i="3"/>
  <c r="G1323" i="3"/>
  <c r="G1324" i="3"/>
  <c r="G1284" i="3"/>
  <c r="G1327" i="3"/>
  <c r="G1328" i="3"/>
  <c r="G1329" i="3"/>
  <c r="G1331" i="3"/>
  <c r="G1334" i="3"/>
  <c r="G1335" i="3"/>
  <c r="G1338" i="3"/>
  <c r="G1339" i="3"/>
  <c r="G1340" i="3"/>
  <c r="G1342" i="3"/>
  <c r="G1343" i="3"/>
  <c r="G1344" i="3"/>
  <c r="G1345" i="3"/>
  <c r="G1346" i="3"/>
  <c r="G1347" i="3"/>
  <c r="G1348" i="3"/>
  <c r="G1349" i="3"/>
  <c r="G1350" i="3"/>
  <c r="G1351" i="3"/>
  <c r="G1352" i="3"/>
  <c r="G1353" i="3"/>
  <c r="G1354" i="3"/>
  <c r="G1355" i="3"/>
  <c r="G1356" i="3"/>
  <c r="G1357" i="3"/>
  <c r="G1358" i="3"/>
  <c r="G1359" i="3"/>
  <c r="G1360" i="3"/>
  <c r="G1361" i="3"/>
  <c r="G1366" i="3"/>
  <c r="G1367" i="3"/>
  <c r="G1369" i="3"/>
  <c r="G1370" i="3"/>
  <c r="G1371" i="3"/>
  <c r="G1372" i="3"/>
  <c r="G1373" i="3"/>
  <c r="G1383" i="3"/>
  <c r="G1287" i="3"/>
  <c r="G1288" i="3"/>
  <c r="G1387" i="3"/>
  <c r="G1388" i="3"/>
  <c r="G1389" i="3"/>
  <c r="G1390" i="3"/>
  <c r="G1391" i="3"/>
  <c r="G1393" i="3"/>
  <c r="G1394" i="3"/>
  <c r="G1316" i="3"/>
  <c r="G1397" i="3"/>
  <c r="G1398" i="3"/>
  <c r="G1399" i="3"/>
  <c r="G1400" i="3"/>
  <c r="G1401" i="3"/>
  <c r="G1402" i="3"/>
  <c r="G1403" i="3"/>
  <c r="G1326" i="3"/>
  <c r="G1385" i="3"/>
  <c r="G1386" i="3"/>
  <c r="G1396" i="3"/>
  <c r="G1404" i="3"/>
  <c r="G1405" i="3"/>
  <c r="G1406" i="3"/>
  <c r="G1407" i="3"/>
  <c r="G1408" i="3"/>
  <c r="G1409" i="3"/>
  <c r="G1410" i="3"/>
  <c r="G1411" i="3"/>
  <c r="G1412" i="3"/>
  <c r="G1413" i="3"/>
  <c r="G1414" i="3"/>
  <c r="G1415" i="3"/>
  <c r="G1416" i="3"/>
  <c r="G1417" i="3"/>
  <c r="G1422" i="3"/>
  <c r="G1423" i="3"/>
  <c r="G1424" i="3"/>
  <c r="G1425" i="3"/>
  <c r="G1426" i="3"/>
  <c r="G1427" i="3"/>
  <c r="G1428" i="3"/>
  <c r="G1429" i="3"/>
  <c r="G1430" i="3"/>
  <c r="G1431" i="3"/>
  <c r="G1432" i="3"/>
  <c r="G1433" i="3"/>
  <c r="G1434" i="3"/>
  <c r="G1435" i="3"/>
  <c r="G1436" i="3"/>
  <c r="G1437" i="3"/>
  <c r="G1438" i="3"/>
  <c r="G1439" i="3"/>
  <c r="G1440" i="3"/>
  <c r="G1441" i="3"/>
  <c r="G1442" i="3"/>
  <c r="G1443" i="3"/>
  <c r="G1444" i="3"/>
  <c r="G1445" i="3"/>
  <c r="G1446" i="3"/>
  <c r="G1447" i="3"/>
  <c r="G1449" i="3"/>
  <c r="G1450" i="3"/>
  <c r="G1451" i="3"/>
  <c r="G1452" i="3"/>
  <c r="G1453" i="3"/>
  <c r="G1454" i="3"/>
  <c r="G1455" i="3"/>
  <c r="G1456" i="3"/>
  <c r="G1457" i="3"/>
  <c r="G1458" i="3"/>
  <c r="G1459" i="3"/>
  <c r="G1460" i="3"/>
  <c r="G1461" i="3"/>
  <c r="G1462" i="3"/>
  <c r="G1463" i="3"/>
  <c r="G1464" i="3"/>
  <c r="G1465" i="3"/>
  <c r="G1466" i="3"/>
  <c r="G1467" i="3"/>
  <c r="G1468" i="3"/>
  <c r="G1469" i="3"/>
  <c r="G1470" i="3"/>
  <c r="G1472" i="3"/>
  <c r="G1479" i="3"/>
  <c r="G1480" i="3"/>
  <c r="G1482" i="3"/>
  <c r="G1484" i="3"/>
  <c r="G1485" i="3"/>
  <c r="G1486" i="3"/>
  <c r="G1487" i="3"/>
  <c r="G1488" i="3"/>
  <c r="G1489" i="3"/>
  <c r="G1491" i="3"/>
  <c r="G1492" i="3"/>
  <c r="G1493" i="3"/>
  <c r="G1494" i="3"/>
  <c r="G1495" i="3"/>
  <c r="G1510" i="3"/>
  <c r="G1511" i="3"/>
  <c r="G1513" i="3"/>
  <c r="G1514" i="3"/>
  <c r="G1515" i="3"/>
  <c r="G1517" i="3"/>
  <c r="G1520" i="3"/>
  <c r="G1521" i="3"/>
  <c r="G1522" i="3"/>
  <c r="G1523" i="3"/>
  <c r="G1524" i="3"/>
  <c r="G1525" i="3"/>
  <c r="G1526" i="3"/>
  <c r="G1531" i="3"/>
  <c r="G1532" i="3"/>
  <c r="G1533" i="3"/>
  <c r="G1534" i="3"/>
  <c r="G1535" i="3"/>
  <c r="G1537" i="3"/>
  <c r="G1539" i="3"/>
  <c r="G1540" i="3"/>
  <c r="G1557" i="3"/>
  <c r="G1558" i="3"/>
  <c r="G1559" i="3"/>
  <c r="G1560" i="3"/>
  <c r="G1561" i="3"/>
  <c r="G1562" i="3"/>
  <c r="G1563" i="3"/>
  <c r="G1564" i="3"/>
  <c r="G1565" i="3"/>
  <c r="G1566" i="3"/>
  <c r="G1568" i="3"/>
  <c r="G1569" i="3"/>
  <c r="G1571" i="3"/>
  <c r="G1572" i="3"/>
  <c r="G1573" i="3"/>
  <c r="G1574" i="3"/>
  <c r="G1575" i="3"/>
  <c r="G1576" i="3"/>
  <c r="G1578" i="3"/>
  <c r="G1579" i="3"/>
  <c r="G1580" i="3"/>
  <c r="G1581" i="3"/>
  <c r="G1582" i="3"/>
  <c r="G1586" i="3"/>
  <c r="G1588" i="3"/>
  <c r="G1592" i="3"/>
  <c r="G1593" i="3"/>
  <c r="G1594" i="3"/>
  <c r="G1507" i="3"/>
  <c r="G1597" i="3"/>
  <c r="G1598" i="3"/>
  <c r="G1600" i="3"/>
  <c r="G1601" i="3"/>
  <c r="G1605" i="3"/>
  <c r="G1611" i="3"/>
  <c r="G1618" i="3"/>
  <c r="G1624" i="3"/>
  <c r="G1625" i="3"/>
  <c r="G1626" i="3"/>
  <c r="G1627" i="3"/>
  <c r="G1628" i="3"/>
  <c r="G1630" i="3"/>
  <c r="G1631" i="3"/>
  <c r="G1632" i="3"/>
  <c r="G1633" i="3"/>
  <c r="G1634" i="3"/>
  <c r="G1635" i="3"/>
  <c r="G1636" i="3"/>
  <c r="G1637" i="3"/>
  <c r="G1638" i="3"/>
  <c r="G1639" i="3"/>
  <c r="G1640" i="3"/>
  <c r="G1641" i="3"/>
  <c r="G1642" i="3"/>
  <c r="G1643" i="3"/>
  <c r="G1644" i="3"/>
  <c r="G1645" i="3"/>
  <c r="G1646" i="3"/>
  <c r="G1647" i="3"/>
  <c r="G1648" i="3"/>
  <c r="G1649" i="3"/>
  <c r="G1650" i="3"/>
  <c r="G1651" i="3"/>
  <c r="G1652" i="3"/>
  <c r="G1653" i="3"/>
  <c r="G1654" i="3"/>
  <c r="G1655" i="3"/>
  <c r="G1656" i="3"/>
  <c r="G1657" i="3"/>
  <c r="G1658" i="3"/>
  <c r="G1659" i="3"/>
  <c r="G1660" i="3"/>
  <c r="G1661" i="3"/>
  <c r="G1662" i="3"/>
  <c r="G1663" i="3"/>
  <c r="G1664" i="3"/>
  <c r="G1665" i="3"/>
  <c r="G1666" i="3"/>
  <c r="G1667" i="3"/>
  <c r="G1668" i="3"/>
  <c r="G1669" i="3"/>
  <c r="G1670" i="3"/>
  <c r="G1671" i="3"/>
  <c r="G1672" i="3"/>
  <c r="G1673" i="3"/>
  <c r="G1674" i="3"/>
  <c r="G1675" i="3"/>
  <c r="G1676" i="3"/>
  <c r="G1677" i="3"/>
  <c r="G1678" i="3"/>
  <c r="G1679" i="3"/>
  <c r="G1680" i="3"/>
  <c r="G1681" i="3"/>
  <c r="G1682" i="3"/>
  <c r="G1683" i="3"/>
  <c r="G1684" i="3"/>
  <c r="G1685" i="3"/>
  <c r="G1686" i="3"/>
  <c r="G1687" i="3"/>
  <c r="G1688" i="3"/>
  <c r="G1689" i="3"/>
  <c r="G1690" i="3"/>
  <c r="G1691" i="3"/>
  <c r="G1692" i="3"/>
  <c r="G1693" i="3"/>
  <c r="G1694" i="3"/>
  <c r="G1695" i="3"/>
  <c r="G1696" i="3"/>
  <c r="G1697" i="3"/>
  <c r="G1698" i="3"/>
  <c r="G1699" i="3"/>
  <c r="G1700" i="3"/>
  <c r="G1701" i="3"/>
  <c r="G1702" i="3"/>
  <c r="G1703" i="3"/>
  <c r="G1704" i="3"/>
  <c r="G1705" i="3"/>
  <c r="G1706" i="3"/>
  <c r="G1707" i="3"/>
  <c r="G1708" i="3"/>
  <c r="G1709" i="3"/>
  <c r="G1710" i="3"/>
  <c r="G1711" i="3"/>
  <c r="G1712" i="3"/>
  <c r="G1713" i="3"/>
  <c r="G1714" i="3"/>
  <c r="G1715" i="3"/>
  <c r="G1716" i="3"/>
  <c r="G1717" i="3"/>
  <c r="G1718" i="3"/>
  <c r="G1719" i="3"/>
  <c r="G1720" i="3"/>
  <c r="G1721" i="3"/>
  <c r="G1722" i="3"/>
  <c r="G1723" i="3"/>
  <c r="G1724" i="3"/>
  <c r="G1725" i="3"/>
  <c r="G1726" i="3"/>
  <c r="G1727" i="3"/>
  <c r="G1728" i="3"/>
  <c r="G1729" i="3"/>
  <c r="G1730" i="3"/>
  <c r="G1731" i="3"/>
  <c r="G1732" i="3"/>
  <c r="G1733" i="3"/>
  <c r="G1734" i="3"/>
  <c r="G1735" i="3"/>
  <c r="G1736" i="3"/>
  <c r="G1737" i="3"/>
  <c r="G1738" i="3"/>
  <c r="G1739" i="3"/>
  <c r="G1740" i="3"/>
  <c r="G1741" i="3"/>
  <c r="G1742" i="3"/>
  <c r="G1743" i="3"/>
  <c r="G1744" i="3"/>
  <c r="G1745" i="3"/>
  <c r="G1746" i="3"/>
  <c r="G1747" i="3"/>
  <c r="G1748" i="3"/>
  <c r="G1749" i="3"/>
  <c r="G1750" i="3"/>
  <c r="G1751" i="3"/>
  <c r="G1752" i="3"/>
  <c r="G1753" i="3"/>
  <c r="G1754" i="3"/>
  <c r="G1755" i="3"/>
  <c r="G1756" i="3"/>
  <c r="G1757" i="3"/>
  <c r="G1758" i="3"/>
  <c r="G1759" i="3"/>
  <c r="G1760" i="3"/>
  <c r="G1765" i="3"/>
  <c r="G1766" i="3"/>
  <c r="G1767" i="3"/>
  <c r="G1768" i="3"/>
  <c r="G1771" i="3"/>
  <c r="G1772" i="3"/>
  <c r="G1773" i="3"/>
  <c r="G1774" i="3"/>
  <c r="G1775" i="3"/>
  <c r="G1776" i="3"/>
  <c r="G1777" i="3"/>
  <c r="G1778" i="3"/>
  <c r="G1779" i="3"/>
  <c r="G1780" i="3"/>
  <c r="G1782" i="3"/>
  <c r="G1787" i="3"/>
  <c r="G1788" i="3"/>
  <c r="G1789" i="3"/>
  <c r="G1790" i="3"/>
  <c r="G1791" i="3"/>
  <c r="G1792" i="3"/>
  <c r="G1793" i="3"/>
  <c r="G1794" i="3"/>
  <c r="G1795" i="3"/>
  <c r="G1797" i="3"/>
  <c r="G1798" i="3"/>
  <c r="G1799" i="3"/>
  <c r="G1800" i="3"/>
  <c r="G1595" i="3"/>
  <c r="G1804" i="3"/>
  <c r="G1805" i="3"/>
  <c r="G1806" i="3"/>
  <c r="G1807" i="3"/>
  <c r="G1808" i="3"/>
  <c r="G1809" i="3"/>
  <c r="G1803" i="3"/>
  <c r="G1812" i="3"/>
  <c r="G1815" i="3"/>
  <c r="G1816" i="3"/>
  <c r="G1818" i="3"/>
  <c r="G1819" i="3"/>
  <c r="G1820" i="3"/>
  <c r="G1821" i="3"/>
  <c r="G1824" i="3"/>
  <c r="G1826" i="3"/>
  <c r="G1827" i="3"/>
  <c r="G1828" i="3"/>
  <c r="G1829" i="3"/>
  <c r="G1830" i="3"/>
  <c r="G1810" i="3"/>
  <c r="G1832" i="3"/>
  <c r="G1833" i="3"/>
  <c r="G1836" i="3"/>
  <c r="G1837" i="3"/>
  <c r="G1838" i="3"/>
  <c r="G1839" i="3"/>
  <c r="G1840" i="3"/>
  <c r="G1842" i="3"/>
  <c r="G1843" i="3"/>
  <c r="G1844" i="3"/>
  <c r="G1845" i="3"/>
  <c r="G1846" i="3"/>
  <c r="G1847" i="3"/>
  <c r="G1848" i="3"/>
  <c r="G1849" i="3"/>
  <c r="G1851" i="3"/>
  <c r="G1852" i="3"/>
  <c r="G1853" i="3"/>
  <c r="G1860" i="3"/>
  <c r="G1863" i="3"/>
  <c r="G1864" i="3"/>
  <c r="G1876" i="3"/>
  <c r="G1877" i="3"/>
  <c r="G1879" i="3"/>
  <c r="G1881" i="3"/>
  <c r="G1889" i="3"/>
  <c r="G1890" i="3"/>
  <c r="G1892" i="3"/>
  <c r="G1893" i="3"/>
  <c r="G1894" i="3"/>
  <c r="G1911" i="3"/>
  <c r="G1912" i="3"/>
  <c r="G1913" i="3"/>
  <c r="G1914" i="3"/>
  <c r="G1915" i="3"/>
  <c r="G1920" i="3"/>
  <c r="G1921" i="3"/>
  <c r="G1922" i="3"/>
  <c r="G1925" i="3"/>
  <c r="G1952" i="3"/>
  <c r="G1953" i="3"/>
  <c r="G1954" i="3"/>
  <c r="G1955" i="3"/>
  <c r="G1956" i="3"/>
  <c r="G1957" i="3"/>
  <c r="G1976" i="3"/>
  <c r="G1977" i="3"/>
  <c r="G1981" i="3"/>
  <c r="G1982" i="3"/>
  <c r="G1989" i="3"/>
  <c r="G1992" i="3"/>
  <c r="G1996" i="3"/>
  <c r="G1998" i="3"/>
  <c r="G1999" i="3"/>
  <c r="G2000" i="3"/>
  <c r="G2001" i="3"/>
  <c r="G2002" i="3"/>
  <c r="G2003" i="3"/>
  <c r="G2004" i="3"/>
  <c r="G2005" i="3"/>
  <c r="G2006" i="3"/>
  <c r="G2007" i="3"/>
  <c r="G2008" i="3"/>
  <c r="G2009" i="3"/>
  <c r="G2010" i="3"/>
  <c r="G2011" i="3"/>
  <c r="G2012" i="3"/>
  <c r="G2013" i="3"/>
  <c r="G2014" i="3"/>
  <c r="G2015" i="3"/>
  <c r="G2016" i="3"/>
  <c r="G2017" i="3"/>
  <c r="G2018" i="3"/>
  <c r="G2019" i="3"/>
  <c r="G2020" i="3"/>
  <c r="G2021" i="3"/>
  <c r="G2022" i="3"/>
  <c r="G2023" i="3"/>
  <c r="G2024" i="3"/>
  <c r="G2025" i="3"/>
  <c r="G2026" i="3"/>
  <c r="G2027" i="3"/>
  <c r="G2028" i="3"/>
  <c r="G2029" i="3"/>
  <c r="G2030" i="3"/>
  <c r="G2032" i="3"/>
  <c r="G2033" i="3"/>
  <c r="G2034" i="3"/>
  <c r="G2035" i="3"/>
  <c r="G2036" i="3"/>
  <c r="G2037" i="3"/>
  <c r="G2038" i="3"/>
  <c r="G2039" i="3"/>
  <c r="G2040" i="3"/>
  <c r="G2041" i="3"/>
  <c r="G2042" i="3"/>
  <c r="G2043" i="3"/>
  <c r="G2044" i="3"/>
  <c r="G2045" i="3"/>
  <c r="G2046" i="3"/>
  <c r="G2047" i="3"/>
  <c r="G2048" i="3"/>
  <c r="G2049" i="3"/>
  <c r="G2050" i="3"/>
  <c r="G2051" i="3"/>
  <c r="G2052" i="3"/>
  <c r="G2053" i="3"/>
  <c r="G2054" i="3"/>
  <c r="G2056" i="3"/>
  <c r="G2057" i="3"/>
  <c r="G2058" i="3"/>
  <c r="G2059" i="3"/>
  <c r="G2060" i="3"/>
  <c r="G2061" i="3"/>
  <c r="G2066" i="3"/>
  <c r="G2071" i="3"/>
  <c r="G2072" i="3"/>
  <c r="G2073" i="3"/>
  <c r="G2074" i="3"/>
  <c r="G2075" i="3"/>
  <c r="G2076" i="3"/>
  <c r="G2077" i="3"/>
  <c r="G2078" i="3"/>
  <c r="G2079" i="3"/>
  <c r="G2080" i="3"/>
  <c r="G2081" i="3"/>
  <c r="G2082" i="3"/>
  <c r="G2083" i="3"/>
  <c r="G2084" i="3"/>
  <c r="G2085" i="3"/>
  <c r="G2086" i="3"/>
  <c r="G2087" i="3"/>
  <c r="G2088" i="3"/>
  <c r="G2089" i="3"/>
  <c r="G2090" i="3"/>
  <c r="G2091" i="3"/>
  <c r="G2092" i="3"/>
  <c r="G2093" i="3"/>
  <c r="G2094" i="3"/>
  <c r="G2095" i="3"/>
  <c r="G2096" i="3"/>
  <c r="G2097" i="3"/>
  <c r="G2098" i="3"/>
  <c r="G2099" i="3"/>
  <c r="G2100" i="3"/>
  <c r="G2101" i="3"/>
  <c r="G2102" i="3"/>
  <c r="G2103" i="3"/>
  <c r="G2104" i="3"/>
  <c r="G2105" i="3"/>
  <c r="G2106" i="3"/>
  <c r="G2107" i="3"/>
  <c r="G2108" i="3"/>
  <c r="G2109" i="3"/>
  <c r="G2110" i="3"/>
  <c r="G2111" i="3"/>
  <c r="G2112" i="3"/>
  <c r="G2113" i="3"/>
  <c r="G2114" i="3"/>
  <c r="G2115" i="3"/>
  <c r="G2116" i="3"/>
  <c r="G2120" i="3"/>
  <c r="G2121" i="3"/>
  <c r="G2122" i="3"/>
  <c r="G2123" i="3"/>
  <c r="G2124" i="3"/>
  <c r="G2125" i="3"/>
  <c r="G1831" i="3"/>
  <c r="G2127" i="3"/>
  <c r="G2129" i="3"/>
  <c r="G2131"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22" i="3"/>
  <c r="C120" i="3"/>
  <c r="C121" i="3"/>
  <c r="C119"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9" i="3"/>
  <c r="C578"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82" i="3"/>
  <c r="C583" i="3"/>
  <c r="C584" i="3"/>
  <c r="C585" i="3"/>
  <c r="C586" i="3"/>
  <c r="C587" i="3"/>
  <c r="C588" i="3"/>
  <c r="C589" i="3"/>
  <c r="C590" i="3"/>
  <c r="C592" i="3"/>
  <c r="C593" i="3"/>
  <c r="C594" i="3"/>
  <c r="C595" i="3"/>
  <c r="C591" i="3"/>
  <c r="C596" i="3"/>
  <c r="C597" i="3"/>
  <c r="C598" i="3"/>
  <c r="C599" i="3"/>
  <c r="C600" i="3"/>
  <c r="C601" i="3"/>
  <c r="C602" i="3"/>
  <c r="C579" i="3"/>
  <c r="C603" i="3"/>
  <c r="C488" i="3"/>
  <c r="C604" i="3"/>
  <c r="C605" i="3"/>
  <c r="C606" i="3"/>
  <c r="C607" i="3"/>
  <c r="C608" i="3"/>
  <c r="C609" i="3"/>
  <c r="C610" i="3"/>
  <c r="C611" i="3"/>
  <c r="C612" i="3"/>
  <c r="C613" i="3"/>
  <c r="C614" i="3"/>
  <c r="C615" i="3"/>
  <c r="C616" i="3"/>
  <c r="C617" i="3"/>
  <c r="C618" i="3"/>
  <c r="C619" i="3"/>
  <c r="C620" i="3"/>
  <c r="C621" i="3"/>
  <c r="C622" i="3"/>
  <c r="C623" i="3"/>
  <c r="C624" i="3"/>
  <c r="C692" i="3"/>
  <c r="C693"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4" i="3"/>
  <c r="C695" i="3"/>
  <c r="C696" i="3"/>
  <c r="C697" i="3"/>
  <c r="C698" i="3"/>
  <c r="C699" i="3"/>
  <c r="C700" i="3"/>
  <c r="C701" i="3"/>
  <c r="C702" i="3"/>
  <c r="C703" i="3"/>
  <c r="C779" i="3"/>
  <c r="C825"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843"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6" i="3"/>
  <c r="C827" i="3"/>
  <c r="C828" i="3"/>
  <c r="C829" i="3"/>
  <c r="C830" i="3"/>
  <c r="C831" i="3"/>
  <c r="C833" i="3"/>
  <c r="C832" i="3"/>
  <c r="C834" i="3"/>
  <c r="C835" i="3"/>
  <c r="C836" i="3"/>
  <c r="C837" i="3"/>
  <c r="C838" i="3"/>
  <c r="C842" i="3"/>
  <c r="C839" i="3"/>
  <c r="C840" i="3"/>
  <c r="C841" i="3"/>
  <c r="C580" i="3"/>
  <c r="C581"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C1001" i="3"/>
  <c r="C1002" i="3"/>
  <c r="C1003" i="3"/>
  <c r="C1004" i="3"/>
  <c r="C1005" i="3"/>
  <c r="C1006" i="3"/>
  <c r="C1007" i="3"/>
  <c r="C1008" i="3"/>
  <c r="C1009" i="3"/>
  <c r="C1010" i="3"/>
  <c r="C1011" i="3"/>
  <c r="C1012" i="3"/>
  <c r="C1013" i="3"/>
  <c r="C1014" i="3"/>
  <c r="C1047" i="3"/>
  <c r="C1048" i="3"/>
  <c r="C1073" i="3"/>
  <c r="C1018" i="3"/>
  <c r="C1019" i="3"/>
  <c r="C1020" i="3"/>
  <c r="C1021" i="3"/>
  <c r="C1022" i="3"/>
  <c r="C1023" i="3"/>
  <c r="C1024" i="3"/>
  <c r="C1025" i="3"/>
  <c r="C1026" i="3"/>
  <c r="C1027" i="3"/>
  <c r="C1028" i="3"/>
  <c r="C1029" i="3"/>
  <c r="C1030" i="3"/>
  <c r="C1031" i="3"/>
  <c r="C1032" i="3"/>
  <c r="C1033" i="3"/>
  <c r="C1034" i="3"/>
  <c r="C1035" i="3"/>
  <c r="C1036" i="3"/>
  <c r="C1037" i="3"/>
  <c r="C1038" i="3"/>
  <c r="C1039" i="3"/>
  <c r="C1040" i="3"/>
  <c r="C1041" i="3"/>
  <c r="C1042" i="3"/>
  <c r="C1043" i="3"/>
  <c r="C1044" i="3"/>
  <c r="C1045" i="3"/>
  <c r="C1313" i="3"/>
  <c r="C1314" i="3"/>
  <c r="C1315" i="3"/>
  <c r="C1049" i="3"/>
  <c r="C1050" i="3"/>
  <c r="C1051" i="3"/>
  <c r="C1052" i="3"/>
  <c r="C1053" i="3"/>
  <c r="C1054" i="3"/>
  <c r="C1055" i="3"/>
  <c r="C1056" i="3"/>
  <c r="C1057" i="3"/>
  <c r="C1058" i="3"/>
  <c r="C1059" i="3"/>
  <c r="C1060" i="3"/>
  <c r="C1061" i="3"/>
  <c r="C1062" i="3"/>
  <c r="C1063" i="3"/>
  <c r="C1064" i="3"/>
  <c r="C1065" i="3"/>
  <c r="C1066" i="3"/>
  <c r="C1067" i="3"/>
  <c r="C1068" i="3"/>
  <c r="C1069" i="3"/>
  <c r="C1070" i="3"/>
  <c r="C1071" i="3"/>
  <c r="C1072" i="3"/>
  <c r="C1285" i="3"/>
  <c r="C1074" i="3"/>
  <c r="C1075" i="3"/>
  <c r="C1076" i="3"/>
  <c r="C1077" i="3"/>
  <c r="C1078" i="3"/>
  <c r="C1079" i="3"/>
  <c r="C1080" i="3"/>
  <c r="C1081" i="3"/>
  <c r="C1082" i="3"/>
  <c r="C1083" i="3"/>
  <c r="C1084" i="3"/>
  <c r="C1085" i="3"/>
  <c r="C1086" i="3"/>
  <c r="C1087" i="3"/>
  <c r="C1088" i="3"/>
  <c r="C1089" i="3"/>
  <c r="C1090" i="3"/>
  <c r="C1091" i="3"/>
  <c r="C1092" i="3"/>
  <c r="C1093" i="3"/>
  <c r="C1094" i="3"/>
  <c r="C1095" i="3"/>
  <c r="C1096" i="3"/>
  <c r="C1097" i="3"/>
  <c r="C1098" i="3"/>
  <c r="C1099" i="3"/>
  <c r="C1100" i="3"/>
  <c r="C1101" i="3"/>
  <c r="C1102" i="3"/>
  <c r="C1103" i="3"/>
  <c r="C1104" i="3"/>
  <c r="C1105" i="3"/>
  <c r="C1106" i="3"/>
  <c r="C1107" i="3"/>
  <c r="C1108" i="3"/>
  <c r="C1109" i="3"/>
  <c r="C1110" i="3"/>
  <c r="C1111" i="3"/>
  <c r="C1112" i="3"/>
  <c r="C1113" i="3"/>
  <c r="C1114" i="3"/>
  <c r="C1115" i="3"/>
  <c r="C1116" i="3"/>
  <c r="C1117" i="3"/>
  <c r="C1118" i="3"/>
  <c r="C1119" i="3"/>
  <c r="C1120" i="3"/>
  <c r="C1121" i="3"/>
  <c r="C1122" i="3"/>
  <c r="C1123" i="3"/>
  <c r="C1124" i="3"/>
  <c r="C1125" i="3"/>
  <c r="C1126" i="3"/>
  <c r="C1127" i="3"/>
  <c r="C1128" i="3"/>
  <c r="C1129" i="3"/>
  <c r="C1130" i="3"/>
  <c r="C1131" i="3"/>
  <c r="C1132" i="3"/>
  <c r="C1133" i="3"/>
  <c r="C1134" i="3"/>
  <c r="C1135" i="3"/>
  <c r="C1136" i="3"/>
  <c r="C1137" i="3"/>
  <c r="C1138" i="3"/>
  <c r="C1139" i="3"/>
  <c r="C1140" i="3"/>
  <c r="C1141" i="3"/>
  <c r="C1142" i="3"/>
  <c r="C1143" i="3"/>
  <c r="C1144" i="3"/>
  <c r="C1145" i="3"/>
  <c r="C1146" i="3"/>
  <c r="C1147" i="3"/>
  <c r="C1148" i="3"/>
  <c r="C1149" i="3"/>
  <c r="C1150" i="3"/>
  <c r="C1151" i="3"/>
  <c r="C1152" i="3"/>
  <c r="C1153" i="3"/>
  <c r="C1154" i="3"/>
  <c r="C1155" i="3"/>
  <c r="C1156" i="3"/>
  <c r="C1157" i="3"/>
  <c r="C1158" i="3"/>
  <c r="C1159" i="3"/>
  <c r="C1160" i="3"/>
  <c r="C1161" i="3"/>
  <c r="C1162" i="3"/>
  <c r="C1163" i="3"/>
  <c r="C1164" i="3"/>
  <c r="C1165" i="3"/>
  <c r="C1166" i="3"/>
  <c r="C1167" i="3"/>
  <c r="C1168" i="3"/>
  <c r="C1169" i="3"/>
  <c r="C1170" i="3"/>
  <c r="C1171" i="3"/>
  <c r="C1172" i="3"/>
  <c r="C1173" i="3"/>
  <c r="C1174" i="3"/>
  <c r="C1175" i="3"/>
  <c r="C1176" i="3"/>
  <c r="C1177" i="3"/>
  <c r="C1178" i="3"/>
  <c r="C1179" i="3"/>
  <c r="C1180" i="3"/>
  <c r="C1181" i="3"/>
  <c r="C1182" i="3"/>
  <c r="C1183" i="3"/>
  <c r="C1184" i="3"/>
  <c r="C1185" i="3"/>
  <c r="C1186" i="3"/>
  <c r="C1187" i="3"/>
  <c r="C1188" i="3"/>
  <c r="C1189" i="3"/>
  <c r="C1190" i="3"/>
  <c r="C1191" i="3"/>
  <c r="C1192" i="3"/>
  <c r="C1193" i="3"/>
  <c r="C1194" i="3"/>
  <c r="C1195" i="3"/>
  <c r="C1196" i="3"/>
  <c r="C1197" i="3"/>
  <c r="C1198" i="3"/>
  <c r="C1199" i="3"/>
  <c r="C1200" i="3"/>
  <c r="C1201" i="3"/>
  <c r="C1202" i="3"/>
  <c r="C1203" i="3"/>
  <c r="C1204" i="3"/>
  <c r="C1205" i="3"/>
  <c r="C1206" i="3"/>
  <c r="C1207" i="3"/>
  <c r="C1208" i="3"/>
  <c r="C1209" i="3"/>
  <c r="C1210" i="3"/>
  <c r="C1211" i="3"/>
  <c r="C1212" i="3"/>
  <c r="C1213" i="3"/>
  <c r="C1214" i="3"/>
  <c r="C1215" i="3"/>
  <c r="C1216" i="3"/>
  <c r="C1217" i="3"/>
  <c r="C1218" i="3"/>
  <c r="C1219" i="3"/>
  <c r="C1220" i="3"/>
  <c r="C1221" i="3"/>
  <c r="C1222" i="3"/>
  <c r="C1223" i="3"/>
  <c r="C1224" i="3"/>
  <c r="C1225" i="3"/>
  <c r="C1226" i="3"/>
  <c r="C1227" i="3"/>
  <c r="C1228" i="3"/>
  <c r="C1229" i="3"/>
  <c r="C1230" i="3"/>
  <c r="C1231" i="3"/>
  <c r="C1232" i="3"/>
  <c r="C1233" i="3"/>
  <c r="C1234" i="3"/>
  <c r="C1235" i="3"/>
  <c r="C1236" i="3"/>
  <c r="C1237" i="3"/>
  <c r="C1238" i="3"/>
  <c r="C1239" i="3"/>
  <c r="C1240" i="3"/>
  <c r="C1241" i="3"/>
  <c r="C1242" i="3"/>
  <c r="C1243" i="3"/>
  <c r="C1244" i="3"/>
  <c r="C1245" i="3"/>
  <c r="C1246" i="3"/>
  <c r="C1247" i="3"/>
  <c r="C1248" i="3"/>
  <c r="C1249" i="3"/>
  <c r="C1250" i="3"/>
  <c r="C1251" i="3"/>
  <c r="C1252" i="3"/>
  <c r="C1253" i="3"/>
  <c r="C1254" i="3"/>
  <c r="C1255" i="3"/>
  <c r="C1256" i="3"/>
  <c r="C1257" i="3"/>
  <c r="C1258" i="3"/>
  <c r="C1259" i="3"/>
  <c r="C1260" i="3"/>
  <c r="C1261" i="3"/>
  <c r="C1262" i="3"/>
  <c r="C1263" i="3"/>
  <c r="C1264" i="3"/>
  <c r="C1265" i="3"/>
  <c r="C1266" i="3"/>
  <c r="C1267" i="3"/>
  <c r="C1268" i="3"/>
  <c r="C1269" i="3"/>
  <c r="C1270" i="3"/>
  <c r="C1271" i="3"/>
  <c r="C1272" i="3"/>
  <c r="C1273" i="3"/>
  <c r="C1274" i="3"/>
  <c r="C1275" i="3"/>
  <c r="C1276" i="3"/>
  <c r="C1277" i="3"/>
  <c r="C1278" i="3"/>
  <c r="C1279" i="3"/>
  <c r="C1280" i="3"/>
  <c r="C1281" i="3"/>
  <c r="C1282" i="3"/>
  <c r="C1283" i="3"/>
  <c r="C1286" i="3"/>
  <c r="C1015" i="3"/>
  <c r="C1016" i="3"/>
  <c r="C1017" i="3"/>
  <c r="C1046" i="3"/>
  <c r="C1289" i="3"/>
  <c r="C1290" i="3"/>
  <c r="C1291" i="3"/>
  <c r="C1292" i="3"/>
  <c r="C1293" i="3"/>
  <c r="C1294" i="3"/>
  <c r="C1295" i="3"/>
  <c r="C1296" i="3"/>
  <c r="C1297" i="3"/>
  <c r="C1298" i="3"/>
  <c r="C1299" i="3"/>
  <c r="C1300" i="3"/>
  <c r="C1301" i="3"/>
  <c r="C1302" i="3"/>
  <c r="C1303" i="3"/>
  <c r="C1304" i="3"/>
  <c r="C1305" i="3"/>
  <c r="C1306" i="3"/>
  <c r="C1307" i="3"/>
  <c r="C1308" i="3"/>
  <c r="C1309" i="3"/>
  <c r="C1310" i="3"/>
  <c r="C1311" i="3"/>
  <c r="C1312" i="3"/>
  <c r="C1418" i="3"/>
  <c r="C1419" i="3"/>
  <c r="C1420" i="3"/>
  <c r="C1421" i="3"/>
  <c r="C1317" i="3"/>
  <c r="C1318" i="3"/>
  <c r="C1319" i="3"/>
  <c r="C1320" i="3"/>
  <c r="C1321" i="3"/>
  <c r="C1322" i="3"/>
  <c r="C1323" i="3"/>
  <c r="C1324" i="3"/>
  <c r="C1325" i="3"/>
  <c r="C1284" i="3"/>
  <c r="C1327" i="3"/>
  <c r="C1328" i="3"/>
  <c r="C1329" i="3"/>
  <c r="C1330" i="3"/>
  <c r="C1331" i="3"/>
  <c r="C1332" i="3"/>
  <c r="C1333" i="3"/>
  <c r="C1334" i="3"/>
  <c r="C1335" i="3"/>
  <c r="C1336" i="3"/>
  <c r="C1337" i="3"/>
  <c r="C1338" i="3"/>
  <c r="C1339" i="3"/>
  <c r="C1340" i="3"/>
  <c r="C1341" i="3"/>
  <c r="C1342" i="3"/>
  <c r="C1343" i="3"/>
  <c r="C1344" i="3"/>
  <c r="C1345" i="3"/>
  <c r="C1346" i="3"/>
  <c r="C1347" i="3"/>
  <c r="C1348" i="3"/>
  <c r="C1349" i="3"/>
  <c r="C1350" i="3"/>
  <c r="C1351" i="3"/>
  <c r="C1352" i="3"/>
  <c r="C1353" i="3"/>
  <c r="C1354" i="3"/>
  <c r="C1355" i="3"/>
  <c r="C1356" i="3"/>
  <c r="C1357" i="3"/>
  <c r="C1358" i="3"/>
  <c r="C1359" i="3"/>
  <c r="C1360" i="3"/>
  <c r="C1361" i="3"/>
  <c r="C1362" i="3"/>
  <c r="C1363" i="3"/>
  <c r="C1364" i="3"/>
  <c r="C1365" i="3"/>
  <c r="C1366" i="3"/>
  <c r="C1367" i="3"/>
  <c r="C1368" i="3"/>
  <c r="C1369" i="3"/>
  <c r="C1370" i="3"/>
  <c r="C1371" i="3"/>
  <c r="C1372" i="3"/>
  <c r="C1373" i="3"/>
  <c r="C1374" i="3"/>
  <c r="C1375" i="3"/>
  <c r="C1376" i="3"/>
  <c r="C1377" i="3"/>
  <c r="C1378" i="3"/>
  <c r="C1379" i="3"/>
  <c r="C1380" i="3"/>
  <c r="C1381" i="3"/>
  <c r="C1382" i="3"/>
  <c r="C1383" i="3"/>
  <c r="C1384" i="3"/>
  <c r="C1287" i="3"/>
  <c r="C1288" i="3"/>
  <c r="C1387" i="3"/>
  <c r="C1388" i="3"/>
  <c r="C1389" i="3"/>
  <c r="C1390" i="3"/>
  <c r="C1391" i="3"/>
  <c r="C1392" i="3"/>
  <c r="C1393" i="3"/>
  <c r="C1394" i="3"/>
  <c r="C1395" i="3"/>
  <c r="C1316" i="3"/>
  <c r="C1397" i="3"/>
  <c r="C1398" i="3"/>
  <c r="C1399" i="3"/>
  <c r="C1400" i="3"/>
  <c r="C1401" i="3"/>
  <c r="C1402" i="3"/>
  <c r="C1403" i="3"/>
  <c r="C1326" i="3"/>
  <c r="C1385" i="3"/>
  <c r="C1386" i="3"/>
  <c r="C1396" i="3"/>
  <c r="C1404" i="3"/>
  <c r="C1405" i="3"/>
  <c r="C1406" i="3"/>
  <c r="C1407" i="3"/>
  <c r="C1408" i="3"/>
  <c r="C1409" i="3"/>
  <c r="C1410" i="3"/>
  <c r="C1411" i="3"/>
  <c r="C1412" i="3"/>
  <c r="C1413" i="3"/>
  <c r="C1414" i="3"/>
  <c r="C1415" i="3"/>
  <c r="C1416" i="3"/>
  <c r="C1417" i="3"/>
  <c r="C1422" i="3"/>
  <c r="C1423" i="3"/>
  <c r="C1424" i="3"/>
  <c r="C1425" i="3"/>
  <c r="C1426" i="3"/>
  <c r="C1427" i="3"/>
  <c r="C1428" i="3"/>
  <c r="C1429" i="3"/>
  <c r="C1430" i="3"/>
  <c r="C1431" i="3"/>
  <c r="C1432" i="3"/>
  <c r="C1433" i="3"/>
  <c r="C1434" i="3"/>
  <c r="C1435" i="3"/>
  <c r="C1436" i="3"/>
  <c r="C1437" i="3"/>
  <c r="C1438" i="3"/>
  <c r="C1439" i="3"/>
  <c r="C1440" i="3"/>
  <c r="C1441" i="3"/>
  <c r="C1442" i="3"/>
  <c r="C1443" i="3"/>
  <c r="C1444" i="3"/>
  <c r="C1445" i="3"/>
  <c r="C1446" i="3"/>
  <c r="C1447" i="3"/>
  <c r="C1448" i="3"/>
  <c r="C1449" i="3"/>
  <c r="C1450" i="3"/>
  <c r="C1451" i="3"/>
  <c r="C1452" i="3"/>
  <c r="C1453" i="3"/>
  <c r="C1454" i="3"/>
  <c r="C1455" i="3"/>
  <c r="C1456" i="3"/>
  <c r="C1457" i="3"/>
  <c r="C1458" i="3"/>
  <c r="C1459" i="3"/>
  <c r="C1460" i="3"/>
  <c r="C1461" i="3"/>
  <c r="C1462" i="3"/>
  <c r="C1463" i="3"/>
  <c r="C1464" i="3"/>
  <c r="C1465" i="3"/>
  <c r="C1466" i="3"/>
  <c r="C1467" i="3"/>
  <c r="C1468" i="3"/>
  <c r="C1469" i="3"/>
  <c r="C1470" i="3"/>
  <c r="C1471" i="3"/>
  <c r="C1472" i="3"/>
  <c r="C1473" i="3"/>
  <c r="C1474" i="3"/>
  <c r="C1475" i="3"/>
  <c r="C1476" i="3"/>
  <c r="C1477" i="3"/>
  <c r="C1478" i="3"/>
  <c r="C1479" i="3"/>
  <c r="C1480" i="3"/>
  <c r="C1481" i="3"/>
  <c r="C1482" i="3"/>
  <c r="C1483" i="3"/>
  <c r="C1484" i="3"/>
  <c r="C1485" i="3"/>
  <c r="C1486" i="3"/>
  <c r="C1487" i="3"/>
  <c r="C1488" i="3"/>
  <c r="C1489" i="3"/>
  <c r="C1490" i="3"/>
  <c r="C1491" i="3"/>
  <c r="C1492" i="3"/>
  <c r="C1493" i="3"/>
  <c r="C1494" i="3"/>
  <c r="C1495" i="3"/>
  <c r="C1496" i="3"/>
  <c r="C1497" i="3"/>
  <c r="C1498" i="3"/>
  <c r="C1499" i="3"/>
  <c r="C1500" i="3"/>
  <c r="C1501" i="3"/>
  <c r="C1502" i="3"/>
  <c r="C1503" i="3"/>
  <c r="C1504" i="3"/>
  <c r="C1505" i="3"/>
  <c r="C1506" i="3"/>
  <c r="C2126" i="3"/>
  <c r="C1508" i="3"/>
  <c r="C1509" i="3"/>
  <c r="C1510" i="3"/>
  <c r="C1511" i="3"/>
  <c r="C1512" i="3"/>
  <c r="C1513" i="3"/>
  <c r="C1514" i="3"/>
  <c r="C1515" i="3"/>
  <c r="C1516" i="3"/>
  <c r="C1517" i="3"/>
  <c r="C1518" i="3"/>
  <c r="C1519" i="3"/>
  <c r="C1520" i="3"/>
  <c r="C1521" i="3"/>
  <c r="C1522" i="3"/>
  <c r="C1523" i="3"/>
  <c r="C1524" i="3"/>
  <c r="C1525" i="3"/>
  <c r="C1526" i="3"/>
  <c r="C1527" i="3"/>
  <c r="C1528" i="3"/>
  <c r="C1529" i="3"/>
  <c r="C1530" i="3"/>
  <c r="C1531" i="3"/>
  <c r="C1532" i="3"/>
  <c r="C1533" i="3"/>
  <c r="C1534" i="3"/>
  <c r="C1535" i="3"/>
  <c r="C1536" i="3"/>
  <c r="C1537" i="3"/>
  <c r="C1538" i="3"/>
  <c r="C1539" i="3"/>
  <c r="C1540" i="3"/>
  <c r="C1541" i="3"/>
  <c r="C1542" i="3"/>
  <c r="C1543" i="3"/>
  <c r="C1544" i="3"/>
  <c r="C1545" i="3"/>
  <c r="C1546" i="3"/>
  <c r="C1547" i="3"/>
  <c r="C1548" i="3"/>
  <c r="C1549" i="3"/>
  <c r="C1550" i="3"/>
  <c r="C1551" i="3"/>
  <c r="C1552" i="3"/>
  <c r="C1553" i="3"/>
  <c r="C1554" i="3"/>
  <c r="C1555" i="3"/>
  <c r="C1556" i="3"/>
  <c r="C1557" i="3"/>
  <c r="C1558" i="3"/>
  <c r="C1559" i="3"/>
  <c r="C1560" i="3"/>
  <c r="C1561" i="3"/>
  <c r="C1562" i="3"/>
  <c r="C1563" i="3"/>
  <c r="C1564" i="3"/>
  <c r="C1565" i="3"/>
  <c r="C1566" i="3"/>
  <c r="C1567" i="3"/>
  <c r="C1568" i="3"/>
  <c r="C1569" i="3"/>
  <c r="C1570" i="3"/>
  <c r="C1571" i="3"/>
  <c r="C1572" i="3"/>
  <c r="C1573" i="3"/>
  <c r="C1574" i="3"/>
  <c r="C1575" i="3"/>
  <c r="C1576" i="3"/>
  <c r="C1577" i="3"/>
  <c r="C1578" i="3"/>
  <c r="C1579" i="3"/>
  <c r="C1580" i="3"/>
  <c r="C1581" i="3"/>
  <c r="C1582" i="3"/>
  <c r="C1583" i="3"/>
  <c r="C1584" i="3"/>
  <c r="C1585" i="3"/>
  <c r="C1586" i="3"/>
  <c r="C1587" i="3"/>
  <c r="C1588" i="3"/>
  <c r="C1589" i="3"/>
  <c r="C1590" i="3"/>
  <c r="C1591" i="3"/>
  <c r="C1592" i="3"/>
  <c r="C1593" i="3"/>
  <c r="C1594" i="3"/>
  <c r="C1507" i="3"/>
  <c r="C1596" i="3"/>
  <c r="C1597" i="3"/>
  <c r="C1598" i="3"/>
  <c r="C1599" i="3"/>
  <c r="C1600" i="3"/>
  <c r="C1601" i="3"/>
  <c r="C1602" i="3"/>
  <c r="C1603" i="3"/>
  <c r="C1604" i="3"/>
  <c r="C1605" i="3"/>
  <c r="C1606" i="3"/>
  <c r="C1607" i="3"/>
  <c r="C1608" i="3"/>
  <c r="C1609" i="3"/>
  <c r="C1610" i="3"/>
  <c r="C1611" i="3"/>
  <c r="C1612" i="3"/>
  <c r="C1613" i="3"/>
  <c r="C1614" i="3"/>
  <c r="C1615" i="3"/>
  <c r="C1616" i="3"/>
  <c r="C1617" i="3"/>
  <c r="C1618" i="3"/>
  <c r="C1619" i="3"/>
  <c r="C1620" i="3"/>
  <c r="C1621" i="3"/>
  <c r="C1622" i="3"/>
  <c r="C1623" i="3"/>
  <c r="C1624" i="3"/>
  <c r="C1625" i="3"/>
  <c r="C1626" i="3"/>
  <c r="C1627" i="3"/>
  <c r="C1628" i="3"/>
  <c r="C1629" i="3"/>
  <c r="C1630" i="3"/>
  <c r="C1631" i="3"/>
  <c r="C1632" i="3"/>
  <c r="C1633" i="3"/>
  <c r="C1634" i="3"/>
  <c r="C1635" i="3"/>
  <c r="C1636" i="3"/>
  <c r="C1637" i="3"/>
  <c r="C1638" i="3"/>
  <c r="C1639" i="3"/>
  <c r="C1640" i="3"/>
  <c r="C1641" i="3"/>
  <c r="C1642" i="3"/>
  <c r="C1643" i="3"/>
  <c r="C1644" i="3"/>
  <c r="C1645" i="3"/>
  <c r="C1646" i="3"/>
  <c r="C1647" i="3"/>
  <c r="C1648" i="3"/>
  <c r="C1649" i="3"/>
  <c r="C1650" i="3"/>
  <c r="C1651" i="3"/>
  <c r="C1652" i="3"/>
  <c r="C1653" i="3"/>
  <c r="C1654" i="3"/>
  <c r="C1655" i="3"/>
  <c r="C1656" i="3"/>
  <c r="C1657" i="3"/>
  <c r="C1658" i="3"/>
  <c r="C1659" i="3"/>
  <c r="C1660" i="3"/>
  <c r="C1661" i="3"/>
  <c r="C1662" i="3"/>
  <c r="C1663" i="3"/>
  <c r="C1664" i="3"/>
  <c r="C1665" i="3"/>
  <c r="C1666" i="3"/>
  <c r="C1667" i="3"/>
  <c r="C1668" i="3"/>
  <c r="C1669" i="3"/>
  <c r="C1670" i="3"/>
  <c r="C1671" i="3"/>
  <c r="C1672" i="3"/>
  <c r="C1673" i="3"/>
  <c r="C1674" i="3"/>
  <c r="C1675" i="3"/>
  <c r="C1676" i="3"/>
  <c r="C1677" i="3"/>
  <c r="C1678" i="3"/>
  <c r="C1679" i="3"/>
  <c r="C1680" i="3"/>
  <c r="C1681" i="3"/>
  <c r="C1682" i="3"/>
  <c r="C1683" i="3"/>
  <c r="C1684" i="3"/>
  <c r="C1685" i="3"/>
  <c r="C1686" i="3"/>
  <c r="C1687" i="3"/>
  <c r="C1688" i="3"/>
  <c r="C1689" i="3"/>
  <c r="C1690" i="3"/>
  <c r="C1691" i="3"/>
  <c r="C1692" i="3"/>
  <c r="C1693" i="3"/>
  <c r="C1694" i="3"/>
  <c r="C1695" i="3"/>
  <c r="C1696" i="3"/>
  <c r="C1697" i="3"/>
  <c r="C1698" i="3"/>
  <c r="C1699" i="3"/>
  <c r="C1700" i="3"/>
  <c r="C1701" i="3"/>
  <c r="C1702" i="3"/>
  <c r="C1703" i="3"/>
  <c r="C1704" i="3"/>
  <c r="C1705" i="3"/>
  <c r="C1706" i="3"/>
  <c r="C1707" i="3"/>
  <c r="C1708" i="3"/>
  <c r="C1709" i="3"/>
  <c r="C1710" i="3"/>
  <c r="C1711" i="3"/>
  <c r="C1712" i="3"/>
  <c r="C1713" i="3"/>
  <c r="C1714" i="3"/>
  <c r="C1715" i="3"/>
  <c r="C1716" i="3"/>
  <c r="C1717" i="3"/>
  <c r="C1718" i="3"/>
  <c r="C1719" i="3"/>
  <c r="C1720" i="3"/>
  <c r="C1721" i="3"/>
  <c r="C1722" i="3"/>
  <c r="C1723" i="3"/>
  <c r="C1724" i="3"/>
  <c r="C1725" i="3"/>
  <c r="C1726" i="3"/>
  <c r="C1727" i="3"/>
  <c r="C1728" i="3"/>
  <c r="C1729" i="3"/>
  <c r="C1730" i="3"/>
  <c r="C1731" i="3"/>
  <c r="C1732" i="3"/>
  <c r="C1733" i="3"/>
  <c r="C1734" i="3"/>
  <c r="C1735" i="3"/>
  <c r="C1736" i="3"/>
  <c r="C1737" i="3"/>
  <c r="C1738" i="3"/>
  <c r="C1739" i="3"/>
  <c r="C1740" i="3"/>
  <c r="C1741" i="3"/>
  <c r="C1742" i="3"/>
  <c r="C1743" i="3"/>
  <c r="C1744" i="3"/>
  <c r="C1745" i="3"/>
  <c r="C1746" i="3"/>
  <c r="C1747" i="3"/>
  <c r="C1748" i="3"/>
  <c r="C1749" i="3"/>
  <c r="C1750" i="3"/>
  <c r="C1751" i="3"/>
  <c r="C1752" i="3"/>
  <c r="C1753" i="3"/>
  <c r="C1754" i="3"/>
  <c r="C1755" i="3"/>
  <c r="C1756" i="3"/>
  <c r="C1757" i="3"/>
  <c r="C1758" i="3"/>
  <c r="C1759" i="3"/>
  <c r="C1760" i="3"/>
  <c r="C1761" i="3"/>
  <c r="C1762" i="3"/>
  <c r="C1763" i="3"/>
  <c r="C1764" i="3"/>
  <c r="C1765" i="3"/>
  <c r="C1766" i="3"/>
  <c r="C1767" i="3"/>
  <c r="C1768" i="3"/>
  <c r="C1769" i="3"/>
  <c r="C1770" i="3"/>
  <c r="C1771" i="3"/>
  <c r="C1772" i="3"/>
  <c r="C1773" i="3"/>
  <c r="C1774" i="3"/>
  <c r="C1775" i="3"/>
  <c r="C1776" i="3"/>
  <c r="C1777" i="3"/>
  <c r="C1778" i="3"/>
  <c r="C1779" i="3"/>
  <c r="C1780" i="3"/>
  <c r="C1781" i="3"/>
  <c r="C1782" i="3"/>
  <c r="C1783" i="3"/>
  <c r="C1784" i="3"/>
  <c r="C1785" i="3"/>
  <c r="C1786" i="3"/>
  <c r="C1787" i="3"/>
  <c r="C1788" i="3"/>
  <c r="C1789" i="3"/>
  <c r="C1790" i="3"/>
  <c r="C1791" i="3"/>
  <c r="C1792" i="3"/>
  <c r="C1793" i="3"/>
  <c r="C1794" i="3"/>
  <c r="C1795" i="3"/>
  <c r="C1796" i="3"/>
  <c r="C1797" i="3"/>
  <c r="C1798" i="3"/>
  <c r="C1799" i="3"/>
  <c r="C1800" i="3"/>
  <c r="C1801" i="3"/>
  <c r="C1802" i="3"/>
  <c r="C1595" i="3"/>
  <c r="C1804" i="3"/>
  <c r="C1805" i="3"/>
  <c r="C1806" i="3"/>
  <c r="C1807" i="3"/>
  <c r="C1808" i="3"/>
  <c r="C1809" i="3"/>
  <c r="C1803" i="3"/>
  <c r="C1811" i="3"/>
  <c r="C1812" i="3"/>
  <c r="C1813" i="3"/>
  <c r="C1814" i="3"/>
  <c r="C1815" i="3"/>
  <c r="C1816" i="3"/>
  <c r="C1817" i="3"/>
  <c r="C1818" i="3"/>
  <c r="C1819" i="3"/>
  <c r="C1820" i="3"/>
  <c r="C1821" i="3"/>
  <c r="C1822" i="3"/>
  <c r="C1823" i="3"/>
  <c r="C1824" i="3"/>
  <c r="C1825" i="3"/>
  <c r="C1826" i="3"/>
  <c r="C1827" i="3"/>
  <c r="C1828" i="3"/>
  <c r="C1829" i="3"/>
  <c r="C1830" i="3"/>
  <c r="C1810" i="3"/>
  <c r="C1832" i="3"/>
  <c r="C1833" i="3"/>
  <c r="C1834" i="3"/>
  <c r="C1835" i="3"/>
  <c r="C1836" i="3"/>
  <c r="C1837" i="3"/>
  <c r="C1838" i="3"/>
  <c r="C1839" i="3"/>
  <c r="C1840" i="3"/>
  <c r="C1841" i="3"/>
  <c r="C1842" i="3"/>
  <c r="C1843" i="3"/>
  <c r="C1844" i="3"/>
  <c r="C1845" i="3"/>
  <c r="C1846" i="3"/>
  <c r="C1847" i="3"/>
  <c r="C1848" i="3"/>
  <c r="C1849" i="3"/>
  <c r="C1850" i="3"/>
  <c r="C1851" i="3"/>
  <c r="C1852" i="3"/>
  <c r="C1853" i="3"/>
  <c r="C1854" i="3"/>
  <c r="C1855" i="3"/>
  <c r="C1856" i="3"/>
  <c r="C1857" i="3"/>
  <c r="C1858" i="3"/>
  <c r="C1859" i="3"/>
  <c r="C1860" i="3"/>
  <c r="C1861" i="3"/>
  <c r="C1862" i="3"/>
  <c r="C1863" i="3"/>
  <c r="C1864" i="3"/>
  <c r="C1865" i="3"/>
  <c r="C1866" i="3"/>
  <c r="C1867" i="3"/>
  <c r="C1868" i="3"/>
  <c r="C1869" i="3"/>
  <c r="C1870" i="3"/>
  <c r="C1871" i="3"/>
  <c r="C1872" i="3"/>
  <c r="C1873" i="3"/>
  <c r="C1874" i="3"/>
  <c r="C1875" i="3"/>
  <c r="C1876" i="3"/>
  <c r="C1877" i="3"/>
  <c r="C1878" i="3"/>
  <c r="C1879" i="3"/>
  <c r="C1880" i="3"/>
  <c r="C1881" i="3"/>
  <c r="C1882" i="3"/>
  <c r="C1883" i="3"/>
  <c r="C1884" i="3"/>
  <c r="C1885" i="3"/>
  <c r="C1886" i="3"/>
  <c r="C1887" i="3"/>
  <c r="C1888" i="3"/>
  <c r="C1889" i="3"/>
  <c r="C1890" i="3"/>
  <c r="C1891" i="3"/>
  <c r="C1892" i="3"/>
  <c r="C1893" i="3"/>
  <c r="C1894" i="3"/>
  <c r="C1895" i="3"/>
  <c r="C1896" i="3"/>
  <c r="C1897" i="3"/>
  <c r="C1898" i="3"/>
  <c r="C1899" i="3"/>
  <c r="C1900" i="3"/>
  <c r="C1901" i="3"/>
  <c r="C1902" i="3"/>
  <c r="C1903" i="3"/>
  <c r="C1904" i="3"/>
  <c r="C1905" i="3"/>
  <c r="C1906" i="3"/>
  <c r="C1907" i="3"/>
  <c r="C1908" i="3"/>
  <c r="C1909" i="3"/>
  <c r="C1910" i="3"/>
  <c r="C1911" i="3"/>
  <c r="C1912" i="3"/>
  <c r="C1913" i="3"/>
  <c r="C1914" i="3"/>
  <c r="C1915" i="3"/>
  <c r="C1916" i="3"/>
  <c r="C1917" i="3"/>
  <c r="C1918" i="3"/>
  <c r="C1919" i="3"/>
  <c r="C1920" i="3"/>
  <c r="C1921" i="3"/>
  <c r="C1922" i="3"/>
  <c r="C1923" i="3"/>
  <c r="C1924" i="3"/>
  <c r="C1925" i="3"/>
  <c r="C1926" i="3"/>
  <c r="C1927" i="3"/>
  <c r="C1928" i="3"/>
  <c r="C1929" i="3"/>
  <c r="C1930" i="3"/>
  <c r="C1931" i="3"/>
  <c r="C1932" i="3"/>
  <c r="C1933" i="3"/>
  <c r="C1934" i="3"/>
  <c r="C1935" i="3"/>
  <c r="C1936" i="3"/>
  <c r="C1937" i="3"/>
  <c r="C1938" i="3"/>
  <c r="C1939" i="3"/>
  <c r="C1940" i="3"/>
  <c r="C1941" i="3"/>
  <c r="C1942" i="3"/>
  <c r="C1943" i="3"/>
  <c r="C1944" i="3"/>
  <c r="C1945" i="3"/>
  <c r="C1946" i="3"/>
  <c r="C1947" i="3"/>
  <c r="C1948" i="3"/>
  <c r="C1949" i="3"/>
  <c r="C1950" i="3"/>
  <c r="C1951" i="3"/>
  <c r="C1952" i="3"/>
  <c r="C1953" i="3"/>
  <c r="C1954" i="3"/>
  <c r="C1955" i="3"/>
  <c r="C1956" i="3"/>
  <c r="C1957" i="3"/>
  <c r="C1958" i="3"/>
  <c r="C1959" i="3"/>
  <c r="C1960" i="3"/>
  <c r="C1961" i="3"/>
  <c r="C1962" i="3"/>
  <c r="C1963" i="3"/>
  <c r="C1964" i="3"/>
  <c r="C1965" i="3"/>
  <c r="C1966" i="3"/>
  <c r="C1967" i="3"/>
  <c r="C1968" i="3"/>
  <c r="C1969" i="3"/>
  <c r="C1970" i="3"/>
  <c r="C1971" i="3"/>
  <c r="C1972" i="3"/>
  <c r="C1973" i="3"/>
  <c r="C1974" i="3"/>
  <c r="C1975" i="3"/>
  <c r="C1976" i="3"/>
  <c r="C1977" i="3"/>
  <c r="C1978" i="3"/>
  <c r="C1979" i="3"/>
  <c r="C1980" i="3"/>
  <c r="C1981" i="3"/>
  <c r="C1982" i="3"/>
  <c r="C1983" i="3"/>
  <c r="C1984" i="3"/>
  <c r="C1985" i="3"/>
  <c r="C1986" i="3"/>
  <c r="C1987" i="3"/>
  <c r="C1988" i="3"/>
  <c r="C1989" i="3"/>
  <c r="C1990" i="3"/>
  <c r="C1991" i="3"/>
  <c r="C1992" i="3"/>
  <c r="C1993" i="3"/>
  <c r="C1994" i="3"/>
  <c r="C1995" i="3"/>
  <c r="C1996" i="3"/>
  <c r="C1997" i="3"/>
  <c r="C1998" i="3"/>
  <c r="C1999" i="3"/>
  <c r="C2000" i="3"/>
  <c r="C2001" i="3"/>
  <c r="C2002" i="3"/>
  <c r="C2003" i="3"/>
  <c r="C2004" i="3"/>
  <c r="C2005" i="3"/>
  <c r="C2006" i="3"/>
  <c r="C2007" i="3"/>
  <c r="C2008" i="3"/>
  <c r="C2009" i="3"/>
  <c r="C2010" i="3"/>
  <c r="C2011" i="3"/>
  <c r="C2012" i="3"/>
  <c r="C2013" i="3"/>
  <c r="C2014" i="3"/>
  <c r="C2015" i="3"/>
  <c r="C2016" i="3"/>
  <c r="C2017" i="3"/>
  <c r="C2018" i="3"/>
  <c r="C2019" i="3"/>
  <c r="C2020" i="3"/>
  <c r="C2021" i="3"/>
  <c r="C2022" i="3"/>
  <c r="C2023" i="3"/>
  <c r="C2024" i="3"/>
  <c r="C2025" i="3"/>
  <c r="C2026" i="3"/>
  <c r="C2027" i="3"/>
  <c r="C2028" i="3"/>
  <c r="C2029" i="3"/>
  <c r="C2030" i="3"/>
  <c r="C2031" i="3"/>
  <c r="C2032" i="3"/>
  <c r="C2033" i="3"/>
  <c r="C2034" i="3"/>
  <c r="C2035" i="3"/>
  <c r="C2036" i="3"/>
  <c r="C2037" i="3"/>
  <c r="C2038" i="3"/>
  <c r="C2039" i="3"/>
  <c r="C2040" i="3"/>
  <c r="C2041" i="3"/>
  <c r="C2042" i="3"/>
  <c r="C2043" i="3"/>
  <c r="C2044" i="3"/>
  <c r="C2045" i="3"/>
  <c r="C2046" i="3"/>
  <c r="C2047" i="3"/>
  <c r="C2048" i="3"/>
  <c r="C2049" i="3"/>
  <c r="C2050" i="3"/>
  <c r="C2051" i="3"/>
  <c r="C2052" i="3"/>
  <c r="C2053" i="3"/>
  <c r="C2054" i="3"/>
  <c r="C2055" i="3"/>
  <c r="C2056" i="3"/>
  <c r="C2057" i="3"/>
  <c r="C2058" i="3"/>
  <c r="C2059" i="3"/>
  <c r="C2060" i="3"/>
  <c r="C2061" i="3"/>
  <c r="C2062" i="3"/>
  <c r="C2063" i="3"/>
  <c r="C2064" i="3"/>
  <c r="C2065" i="3"/>
  <c r="C2066" i="3"/>
  <c r="C2067" i="3"/>
  <c r="C2068" i="3"/>
  <c r="C2069" i="3"/>
  <c r="C2070" i="3"/>
  <c r="C2071" i="3"/>
  <c r="C2072" i="3"/>
  <c r="C2073" i="3"/>
  <c r="C2074" i="3"/>
  <c r="C2075" i="3"/>
  <c r="C2076" i="3"/>
  <c r="C2077" i="3"/>
  <c r="C2078" i="3"/>
  <c r="C2079" i="3"/>
  <c r="C2080" i="3"/>
  <c r="C2081" i="3"/>
  <c r="C2082" i="3"/>
  <c r="C2083" i="3"/>
  <c r="C2084" i="3"/>
  <c r="C2085" i="3"/>
  <c r="C2086" i="3"/>
  <c r="C2087" i="3"/>
  <c r="C2088" i="3"/>
  <c r="C2089" i="3"/>
  <c r="C2090" i="3"/>
  <c r="C2091" i="3"/>
  <c r="C2092" i="3"/>
  <c r="C2093" i="3"/>
  <c r="C2094" i="3"/>
  <c r="C2095" i="3"/>
  <c r="C2096" i="3"/>
  <c r="C2097" i="3"/>
  <c r="C2098" i="3"/>
  <c r="C2099" i="3"/>
  <c r="C2100" i="3"/>
  <c r="C2101" i="3"/>
  <c r="C2102" i="3"/>
  <c r="C2103" i="3"/>
  <c r="C2104" i="3"/>
  <c r="C2105" i="3"/>
  <c r="C2106" i="3"/>
  <c r="C2107" i="3"/>
  <c r="C2108" i="3"/>
  <c r="C2109" i="3"/>
  <c r="C2110" i="3"/>
  <c r="C2111" i="3"/>
  <c r="C2112" i="3"/>
  <c r="C2113" i="3"/>
  <c r="C2114" i="3"/>
  <c r="C2115" i="3"/>
  <c r="C2116" i="3"/>
  <c r="C2117" i="3"/>
  <c r="C2118" i="3"/>
  <c r="C2119" i="3"/>
  <c r="C2120" i="3"/>
  <c r="C2121" i="3"/>
  <c r="C2122" i="3"/>
  <c r="C2123" i="3"/>
  <c r="C2124" i="3"/>
  <c r="C2125" i="3"/>
  <c r="C1831" i="3"/>
  <c r="C2127" i="3"/>
  <c r="C2128" i="3"/>
  <c r="C2129" i="3"/>
  <c r="C2130" i="3"/>
  <c r="C2131" i="3"/>
</calcChain>
</file>

<file path=xl/sharedStrings.xml><?xml version="1.0" encoding="utf-8"?>
<sst xmlns="http://schemas.openxmlformats.org/spreadsheetml/2006/main" count="16725" uniqueCount="3924">
  <si>
    <t>Congress</t>
  </si>
  <si>
    <t>Public Law</t>
  </si>
  <si>
    <t>Public Law Title</t>
  </si>
  <si>
    <t>Date of Expiration</t>
  </si>
  <si>
    <t>Description</t>
  </si>
  <si>
    <t>Expiring Fiscal Year</t>
  </si>
  <si>
    <t>Authorized Appropriation</t>
  </si>
  <si>
    <t>Identified Appropriations Amount</t>
  </si>
  <si>
    <t>House Authorizing Committee</t>
  </si>
  <si>
    <t>Senate Authorizing Committee</t>
  </si>
  <si>
    <t>Appropriations Subcommittee</t>
  </si>
  <si>
    <t>CBO Report Year</t>
  </si>
  <si>
    <t>Indefinite</t>
  </si>
  <si>
    <t>Contents</t>
  </si>
  <si>
    <t>Budget Authority</t>
  </si>
  <si>
    <t>Authorization of Appropriations</t>
  </si>
  <si>
    <t>Appropriation</t>
  </si>
  <si>
    <t>House or Senate Authorizing Committee</t>
  </si>
  <si>
    <t>Authority provided by federal law to incur financial obligations that will result in immediate or future outlays of federal funds. Budget authority may be provided in an appropriation act or authorization act and may take the form of a direct appropriation of funds from the Treasury, borrowing authority, contract authority, entitlement authority, or authority to obligate and expend offsetting collections or receipts.</t>
  </si>
  <si>
    <t>Authorizations of appropriations that do not specify an explicit amount are labeled  “indefinite” and typically authorize “such sums as may be necessary” in their statutory text.</t>
  </si>
  <si>
    <t>Identified Appropriation</t>
  </si>
  <si>
    <t>A provision of law authorizing the expenditure of funds for a given purpose. In this file, “appropriation” is synonymous with “budget authority.”</t>
  </si>
  <si>
    <t>Guidance, contained in legislation, to the Congress about the funding that may be necessary to implement an enabling statute.</t>
  </si>
  <si>
    <t>Using the LCS Detail</t>
  </si>
  <si>
    <t xml:space="preserve">Make sure you have clicked “Enable Content” at the top of the worksheet to enable filtering and sorting capabilities. </t>
  </si>
  <si>
    <t>You may wish to see CBO’s entire catalog of expiring or expired authorizations of appropriations in the sequential order in which they have, or will, expire. To do so, you would:</t>
  </si>
  <si>
    <t>Public Law Section</t>
  </si>
  <si>
    <t>U.S. Code Citation</t>
  </si>
  <si>
    <t>Expiring Fiscal Year (column I), Identified Appropriations Amount (column K), House Authorizing Committee (column L), Senate Authorizing Committee (column M), and Appropriations Subcommittee (column N) are common categories to either sort by or filter.</t>
  </si>
  <si>
    <t>3.  Definitions of Relevant Terms</t>
  </si>
  <si>
    <t>1.  Instructions</t>
  </si>
  <si>
    <t>For previous versions of this report, see Congressional Budget Office, “Major Recurring Reports: Expired and Expiring Authorizations of Appropriations.”</t>
  </si>
  <si>
    <r>
      <t xml:space="preserve">3. Select the drop-down menu in column K, row 6, and make sure that everything </t>
    </r>
    <r>
      <rPr>
        <b/>
        <u/>
        <sz val="11"/>
        <rFont val="Arial"/>
        <family val="2"/>
      </rPr>
      <t>except</t>
    </r>
    <r>
      <rPr>
        <sz val="11"/>
        <rFont val="Arial"/>
        <family val="2"/>
      </rPr>
      <t xml:space="preserve"> “Unidentifiable” is checked.</t>
    </r>
  </si>
  <si>
    <t>1. Select the drop-down menu in column I, row 6, and choose “Sort Smallest to Largest.”</t>
  </si>
  <si>
    <t>The Congress that enacted the legislation associated with each authorization of appropriations.</t>
  </si>
  <si>
    <t>The last fiscal year in which a given authorization of appropriations was in effect.</t>
  </si>
  <si>
    <t>2.  LCS Detail 2023</t>
  </si>
  <si>
    <t>2023</t>
  </si>
  <si>
    <t>Equal Access to Courts Act</t>
  </si>
  <si>
    <t>Sec. 15(a)</t>
  </si>
  <si>
    <t>Payment to the Legal Services Corporation</t>
  </si>
  <si>
    <t>House Committee on the Judiciary</t>
  </si>
  <si>
    <t>Senate Committee on the Judiciary</t>
  </si>
  <si>
    <t>Subcommittee on Commerce, Justice, Science, and Related Agencies</t>
  </si>
  <si>
    <t>Public Rangeland Improvement Act of 1978</t>
  </si>
  <si>
    <t>Sec. 4</t>
  </si>
  <si>
    <t>Bureau of Land Management: inventory, management, and improvement of rangelands suitable for domestic livestock grazing</t>
  </si>
  <si>
    <t>House Committee on Natural Resources</t>
  </si>
  <si>
    <t>Senate Committee on Energy and Natural Resources</t>
  </si>
  <si>
    <t>Subcommittee on Interior, Environment, and Related Agencies</t>
  </si>
  <si>
    <t>Federal Election Commission Authorization for Fiscal Year 1981</t>
  </si>
  <si>
    <t>Sec. 1</t>
  </si>
  <si>
    <t>Federal Election Commission</t>
  </si>
  <si>
    <t>House Committee on House Administration</t>
  </si>
  <si>
    <t>Senate Committee on Rules and Administration</t>
  </si>
  <si>
    <t>Subcommittee on Financial Services and General Government</t>
  </si>
  <si>
    <t>Omnibus Budget Reconciliation Act of 1981</t>
  </si>
  <si>
    <t>Department of Energy power marketing administrations</t>
  </si>
  <si>
    <t>Subcommittee on Energy and Water Development, and Related Agencies</t>
  </si>
  <si>
    <t>Federal Energy Regulatory Commission</t>
  </si>
  <si>
    <t>House Committee on Energy and Commerce</t>
  </si>
  <si>
    <t>Department of Energy economic regulation</t>
  </si>
  <si>
    <t>Unidentifiable</t>
  </si>
  <si>
    <t>Department of Energy departmental administration</t>
  </si>
  <si>
    <t>Energy Information Administration (EIA)</t>
  </si>
  <si>
    <t>Toxic Substances Control Act Reauthorization for Fiscal Years 1982 and 1983</t>
  </si>
  <si>
    <t>Environmental Protection Agency: toxic substances programs; toxics risk review and prevention in environmental programs; management and categorical grants</t>
  </si>
  <si>
    <t>Senate Committee on Environment and Public Works</t>
  </si>
  <si>
    <t>Reauthorization of Programs Under Titles X and XX of the Public Health Service Act</t>
  </si>
  <si>
    <t>Sec. 2(a)</t>
  </si>
  <si>
    <t>Department of Health and Human Services project grants and contracts for family planning services and for family planning and population growth information</t>
  </si>
  <si>
    <t>Senate Committee on Health, Education, Labor, and Pensions</t>
  </si>
  <si>
    <t>Subcommittee on Labor, Health and Human Services, Education, and Related Agencies</t>
  </si>
  <si>
    <t>A bill to authorize appropriations for the Office of Environmental Quality and the Council on Environmental Quality for fiscal years 1985, 1986, and 1987</t>
  </si>
  <si>
    <t>Office of and Council on Environmental Quality</t>
  </si>
  <si>
    <t>Hazardous and Solid Waste Amendments of 1984</t>
  </si>
  <si>
    <t>Environmental Protection Agency solid and hazardous waste disposal and resource management programs</t>
  </si>
  <si>
    <t>International Security and Development Cooperation Act of 1985</t>
  </si>
  <si>
    <t>Sec. 201(e)</t>
  </si>
  <si>
    <t>Economic support fund</t>
  </si>
  <si>
    <t>House Committee on Foreign Affairs</t>
  </si>
  <si>
    <t>Senate Committee on Foreign Relations</t>
  </si>
  <si>
    <t>Subcommittee on State, Foreign Operations, and Related Programs</t>
  </si>
  <si>
    <t>Sec. 303</t>
  </si>
  <si>
    <t>Development assistance: voluntary population planning</t>
  </si>
  <si>
    <t>Sec. 810(a)</t>
  </si>
  <si>
    <t>United States African Development Foundation</t>
  </si>
  <si>
    <t>Sec. 306</t>
  </si>
  <si>
    <t>Development assistance: education, public administration, and human resource development</t>
  </si>
  <si>
    <t>Sec. 307(a)</t>
  </si>
  <si>
    <t>Development assistance: preparation and development of indigenous energy resources</t>
  </si>
  <si>
    <t>Sec. 401</t>
  </si>
  <si>
    <t>Assistance to American schools, libraries, and hospitals abroad that were founded or sponsored by Americans</t>
  </si>
  <si>
    <t>Sec. 406</t>
  </si>
  <si>
    <t>Operating expenses (including Office of Inspector General) for the Agency for International Development</t>
  </si>
  <si>
    <t>Sec. 302</t>
  </si>
  <si>
    <t>Development assistance: agricultural development in rural areas</t>
  </si>
  <si>
    <t>Special Foreign Assistance Act of 1986</t>
  </si>
  <si>
    <t>Sec. 103(b)</t>
  </si>
  <si>
    <t>Child survival fund and development assistance for health</t>
  </si>
  <si>
    <t>Sec. 404(1)</t>
  </si>
  <si>
    <t>Foreign assistance for health and disease prevention</t>
  </si>
  <si>
    <t>Sec. 404(2)</t>
  </si>
  <si>
    <t>Grants by the President to international organizations and programs</t>
  </si>
  <si>
    <t>Klamath River Basin Fishery Resources Provisions</t>
  </si>
  <si>
    <t>Sec. 6</t>
  </si>
  <si>
    <t>Department of the Interior: Klamath River Basin Conservation Area Restoration Program</t>
  </si>
  <si>
    <t>Water Quality Act of 1987</t>
  </si>
  <si>
    <t>Various Environmental Protection Agency water pollution prevention and control programs (except the Chesapeake Bay Program, Clean Lakes Program, and National Estuary Program, authorized in other laws); areawide planning; interagency agreements</t>
  </si>
  <si>
    <t>House Committee on Transportation and Infrastructure</t>
  </si>
  <si>
    <t>Environmental Protection Agency nonpoint source management grants for protecting ground water quality; implementation of management programs; categorical grants</t>
  </si>
  <si>
    <t>Endangered Species Act Authorization</t>
  </si>
  <si>
    <t>Sec. 1009</t>
  </si>
  <si>
    <t>Department of the Interior: endangered species listings; recovery plans; programs for the protection of plants</t>
  </si>
  <si>
    <t>Radon Program Development Act of 1988</t>
  </si>
  <si>
    <t>Sec. 306(j)</t>
  </si>
  <si>
    <t>Environmental Protection Agency citizen's guide, model construction standards and techniques, and technical assistance to states for radon programs; grants to states for radon programs; regional radon training centers</t>
  </si>
  <si>
    <t>Lead Containment Control Act of 1988</t>
  </si>
  <si>
    <t>Grants to states regarding lead contamination in school drinking water</t>
  </si>
  <si>
    <t>Anti-Drug Abuse Act of 1988</t>
  </si>
  <si>
    <t>Sec. 6164</t>
  </si>
  <si>
    <t>Federal Law Enforcement Training Center salaries and expenses</t>
  </si>
  <si>
    <t>Subcommittee on Homeland Security</t>
  </si>
  <si>
    <t>Omnibus Budget Reconciliation Act of 1990</t>
  </si>
  <si>
    <t>Sec. 11231</t>
  </si>
  <si>
    <t>Appropriation from the Environmental Protection Agency Hazardous Substance Superfund</t>
  </si>
  <si>
    <t>Sec. 6301</t>
  </si>
  <si>
    <t>General Revenue share of the Hazardous Substance Superfund</t>
  </si>
  <si>
    <t>Arts, Humanities, and Museums Amendments of 1990</t>
  </si>
  <si>
    <t>The National Endowment for the Arts and the National Endowment for the Humanities; includes matching grants</t>
  </si>
  <si>
    <t>House Committee on Education and Labor</t>
  </si>
  <si>
    <t>Clean Air Act Amendments of 1990</t>
  </si>
  <si>
    <t>Environmental Protection Agency: testing of lead substitute gasoline additives; grants to states to prepare implementation plans for air quality maintenance</t>
  </si>
  <si>
    <t>Environmental Protection Agency: technical and financial assistance to developing countries that are parties to the Montreal Protocol</t>
  </si>
  <si>
    <t>Environmental Protection Agency: air pollution and control programs; Clean Air Act research, development and demonstration programs, studies, and reports</t>
  </si>
  <si>
    <t>House Committee on Science, Space, and Technology</t>
  </si>
  <si>
    <t>Grants to states to assist individuals adversely affected by compliance with the Clean Air Act</t>
  </si>
  <si>
    <t>Fish and Wildlife Authorizations</t>
  </si>
  <si>
    <t>Sec. 301</t>
  </si>
  <si>
    <t>Environmental Protection Agency: regional marine research programs</t>
  </si>
  <si>
    <t>National Environmental Education Act</t>
  </si>
  <si>
    <t>Sec. 11</t>
  </si>
  <si>
    <t>Environmental Protection Agency: programs for environmental education</t>
  </si>
  <si>
    <t>Foreign Relations Authorization Act, Fiscal Years 1992 and 1993</t>
  </si>
  <si>
    <t>Sec. 173(a)</t>
  </si>
  <si>
    <t>Inter-American Foundation</t>
  </si>
  <si>
    <t>Public Telecommunications Act of 1992</t>
  </si>
  <si>
    <t>National Telecommunications and Information Administration: public telecommunications facilities, planning, and construction</t>
  </si>
  <si>
    <t>Senate Committee on Commerce, Science, and Transportation</t>
  </si>
  <si>
    <t>Sec. 8</t>
  </si>
  <si>
    <t>Corporation for Public Broadcasting</t>
  </si>
  <si>
    <t>Telecommunication Authorization Act of 1992</t>
  </si>
  <si>
    <t>National Telecommunication and Information Administration (except for public telecommunications facilities, planning, and construction); PEACESAT program</t>
  </si>
  <si>
    <t>Housing and Community Development Act of 1992</t>
  </si>
  <si>
    <t>Sec. 801(a)</t>
  </si>
  <si>
    <t>Community Development Block Grants provided under 42 U.S.C. 5306</t>
  </si>
  <si>
    <t>House Committee on Financial Services</t>
  </si>
  <si>
    <t>Senate Committee on Banking, Housing, and Urban Affairs</t>
  </si>
  <si>
    <t>Subcommittee on Transportation, Housing and Urban Development, and Related Agencies</t>
  </si>
  <si>
    <t>Department of Housing and Urban Development: research and development</t>
  </si>
  <si>
    <t>Fair housing initiatives</t>
  </si>
  <si>
    <t>Lead-based paint hazard reduction</t>
  </si>
  <si>
    <t>Home investment partnerships</t>
  </si>
  <si>
    <t>Housing opportunities for persons with AIDS</t>
  </si>
  <si>
    <t>Sec. 831(a)</t>
  </si>
  <si>
    <t>Neighborhood Reinvestment Corporation</t>
  </si>
  <si>
    <t>National Oceanic and Atmospheric Administration Authorization Act of 1992</t>
  </si>
  <si>
    <t>Sec. 101(a)</t>
  </si>
  <si>
    <t>National Weather Service operation and research</t>
  </si>
  <si>
    <t>Sec. 610(a)</t>
  </si>
  <si>
    <t>National Oceanic and Atmospheric Administration fleet modernization</t>
  </si>
  <si>
    <t>Sec. 201</t>
  </si>
  <si>
    <t>National Ocean Service Operations</t>
  </si>
  <si>
    <t>Sec. 202</t>
  </si>
  <si>
    <t>Ocean and Great Lakes research</t>
  </si>
  <si>
    <t>Sec. 203(a)</t>
  </si>
  <si>
    <t>Aquatic nuisance prevention and control program</t>
  </si>
  <si>
    <t>For program support of administrative and marine services activities</t>
  </si>
  <si>
    <t>Sec. 401(c)</t>
  </si>
  <si>
    <t>For program support of aircraft services</t>
  </si>
  <si>
    <t>Sec. 402</t>
  </si>
  <si>
    <t>For acquisition, construction, maintenance, and operation of facilities of the National Oceanic and Atmospheric Administration</t>
  </si>
  <si>
    <t>Sec. 101</t>
  </si>
  <si>
    <t>Operation of Pacific Weather Buoys</t>
  </si>
  <si>
    <t>Sec. 102(a)</t>
  </si>
  <si>
    <t>Public Warning and Forecast Systems</t>
  </si>
  <si>
    <t>Sec. 103</t>
  </si>
  <si>
    <t>Climate and Air Quality Research</t>
  </si>
  <si>
    <t>Sec. 104</t>
  </si>
  <si>
    <t>Atmospheric Research</t>
  </si>
  <si>
    <t>Sec. 105</t>
  </si>
  <si>
    <t>Satellite Observing Systems</t>
  </si>
  <si>
    <t>Sec. 105(b)</t>
  </si>
  <si>
    <t>Emergency Weather Satellite Contingency Fund</t>
  </si>
  <si>
    <t>Sec. 106</t>
  </si>
  <si>
    <t>Data and Information Services</t>
  </si>
  <si>
    <t>Water Resources Development Act of 1992</t>
  </si>
  <si>
    <t>Sec. 509</t>
  </si>
  <si>
    <t>Environmental Protection Agency: ocean dumping regulations</t>
  </si>
  <si>
    <t>Export Administration Act Reauthorization</t>
  </si>
  <si>
    <t>Department of Commerce: export control activities</t>
  </si>
  <si>
    <t>Preventive Health Amendments of 1993</t>
  </si>
  <si>
    <t>Department of Health and Human Services grants for the prevention and control of sexually transmitted diseases</t>
  </si>
  <si>
    <t>Centers for Disease Control and Prevention programs regarding infertility caused by sexually transmitted diseases</t>
  </si>
  <si>
    <t>Multifamily Housing Property Disposition Reform Act of 1994</t>
  </si>
  <si>
    <t>General and Special Risk Insurance funds</t>
  </si>
  <si>
    <t>Marine Mammal Protection Act Amendments of 1994</t>
  </si>
  <si>
    <t>Sec. 9</t>
  </si>
  <si>
    <t>Department of Commerce: conservation and protection of marine mammals</t>
  </si>
  <si>
    <t>Department of the Interior: conservation and protection of marine mammals</t>
  </si>
  <si>
    <t>Sec. 9(b)</t>
  </si>
  <si>
    <t>Marine Mammal Commission</t>
  </si>
  <si>
    <t>Violent Crime Control and Law Enforcement Act of 1994</t>
  </si>
  <si>
    <t>For the Bureau of Justice Statistics</t>
  </si>
  <si>
    <t>For the National Institute of Justice</t>
  </si>
  <si>
    <t>Grants to states for residential substance abuse treatment for state prisoners</t>
  </si>
  <si>
    <t>Riegle Community Development and Regulatory Improvement Act of 1994</t>
  </si>
  <si>
    <t>Sec. 121</t>
  </si>
  <si>
    <t>Community Development and Banking and Financial Institutions Act, including $2 million for the Community Development Credit Union Revolving Loan Fund</t>
  </si>
  <si>
    <t>Jobs Through Trade Expansion Act of 1994</t>
  </si>
  <si>
    <t>To the Secretary of Commerce for export promotion programs within the International Trade Administration</t>
  </si>
  <si>
    <t>Civil Rights Commission Amendments Act of 1994</t>
  </si>
  <si>
    <t>Sec. 2</t>
  </si>
  <si>
    <t>United States Commission on Civil Rights</t>
  </si>
  <si>
    <t>Social Security Act Amendments of 1994</t>
  </si>
  <si>
    <t>Sec. 171(i)(8(A))</t>
  </si>
  <si>
    <t>State health insurance assistance program within the Administration for Community Living</t>
  </si>
  <si>
    <t>Unfunded Mandates Reform Act of 1995</t>
  </si>
  <si>
    <t>Additional funding for the Congressional Budget Office to carry out its duties and responsibilities under the act</t>
  </si>
  <si>
    <t>House Committee on Oversight and Reform</t>
  </si>
  <si>
    <t>Senate Committee on Homeland Security and Governmental Affairs</t>
  </si>
  <si>
    <t>Subcommittee on Legislative Branch</t>
  </si>
  <si>
    <t>Paperwork Reduction Act of 1995</t>
  </si>
  <si>
    <t>Office of Information and Regulatory Affairs (Office of Management and Budget)</t>
  </si>
  <si>
    <t>Indian Child Protection and Family Violence Prevention Act Amendment of 1995</t>
  </si>
  <si>
    <t>Indian Child Resource and Family Services center; Indian Child Protection and Family Violence Prevention program</t>
  </si>
  <si>
    <t>Senate Committee on Indian Affairs</t>
  </si>
  <si>
    <t>Housing Opportunity Program Extension Act of 1996</t>
  </si>
  <si>
    <t>Administrative expenses for Government National Mortgage Association guarantees of mortgage-backed securities</t>
  </si>
  <si>
    <t>Coastal Zone Protection Act of 1996</t>
  </si>
  <si>
    <t>Grants to states for administration of coastal zone management programs; program development grants; resource management improvement grants; coastal zone enhancement grants</t>
  </si>
  <si>
    <t>Safe Drinking Water Act Amendments of 1996</t>
  </si>
  <si>
    <t>Office of Ground Water and Drinking Water studies, assessments, and analyses supporting regulations and the development of methods</t>
  </si>
  <si>
    <t>Small public water systems technology assistance centers</t>
  </si>
  <si>
    <t>Grants to states for training operators of public water systems</t>
  </si>
  <si>
    <t>Sec. 131</t>
  </si>
  <si>
    <t>State groundwater protection grants</t>
  </si>
  <si>
    <t>Sec. 135</t>
  </si>
  <si>
    <t>Drinking water assistance to colonias (low-income communities along the U.S.-Mexico border)</t>
  </si>
  <si>
    <t>Sec. 137</t>
  </si>
  <si>
    <t>Environmental Protection Agency studies on harmful substances in drinking water</t>
  </si>
  <si>
    <t>Environmental Protection Agency waterborne disease occurrence study</t>
  </si>
  <si>
    <t>Additional funds for Environmental Protection Agency drinking water research (not to exceed $26,593,000 annually)</t>
  </si>
  <si>
    <t>Environmental Protection Agency assistance for water infrastructure and watersheds, plus an additional $25 million available under certain conditions</t>
  </si>
  <si>
    <t>Sec. 120</t>
  </si>
  <si>
    <t>Underground injection control grants</t>
  </si>
  <si>
    <t>Environmental finance center and national capacity development clearinghouse</t>
  </si>
  <si>
    <t>Sole-source aquifer demonstration program</t>
  </si>
  <si>
    <t>Wellhead protection areas</t>
  </si>
  <si>
    <t>Sec. 307</t>
  </si>
  <si>
    <t>Wastewater assistance to colonias (low-income communities along the U.S.-Mexico border)</t>
  </si>
  <si>
    <t>Federal Trade Commission Act of 1996</t>
  </si>
  <si>
    <t>Federal Trade Commission operations</t>
  </si>
  <si>
    <t>Veterans' Health Care Eligibility Reform Act of 1996</t>
  </si>
  <si>
    <t>Veterans' medical care: hospital care and medical services; authorizing committee states that the language was intended only to cap the program in fiscal years 1997 and 1998</t>
  </si>
  <si>
    <t>House Committee on Veterans' Affairs</t>
  </si>
  <si>
    <t>Senate Committee on Veterans' Affairs</t>
  </si>
  <si>
    <t>Subcommittee on Military Construction, Veterans Affairs, and Related Agencies</t>
  </si>
  <si>
    <t>Centers for Mental Illness Research, Education, and Clinical Activities</t>
  </si>
  <si>
    <t>Sustainable Fisheries Act of 1996</t>
  </si>
  <si>
    <t>Sec. 401(a)</t>
  </si>
  <si>
    <t>Fisheries information collection and analysis</t>
  </si>
  <si>
    <t>Sec. 401(b)</t>
  </si>
  <si>
    <t>Conservation and management operations</t>
  </si>
  <si>
    <t>State and industry cooperative programs</t>
  </si>
  <si>
    <t>Navajo-Hopi Land Dispute Settlement Act of 1996</t>
  </si>
  <si>
    <t>Sec. 10</t>
  </si>
  <si>
    <t>Office of Navajo and Hopi Relocation</t>
  </si>
  <si>
    <t>National Invasive Species Act of 1996</t>
  </si>
  <si>
    <t>Ballast water management programs to prevent the introduction and spread of nonindigenous species in U.S. waters; additional funding is provided in the Commerce, Justice, and State appropriation bill</t>
  </si>
  <si>
    <t>Omnibus Parks and Public Lands Management Act of 1996</t>
  </si>
  <si>
    <t>Sec. 310</t>
  </si>
  <si>
    <t>Bureau of Land Management: management of lands and resources, land acquisition, construction and maintenance, and loans to states</t>
  </si>
  <si>
    <t>Sec. 1024</t>
  </si>
  <si>
    <t>Upper Klamath Basin Ecological Restoration projects</t>
  </si>
  <si>
    <t>Quality Housing and Work Responsibility Act of 1998</t>
  </si>
  <si>
    <t>Public housing capital and operating funds</t>
  </si>
  <si>
    <t>Section 8 tenant-based housing assistance</t>
  </si>
  <si>
    <t>Rehabilitation demonstration grant program</t>
  </si>
  <si>
    <t>Coats Human Services Reauthorization Act of 1998</t>
  </si>
  <si>
    <t>Community Services Block Grant</t>
  </si>
  <si>
    <t>Assets for Independence Act: funds for the Individual Development Account Initiative</t>
  </si>
  <si>
    <t>House Committee on Ways and Means</t>
  </si>
  <si>
    <t>Women's Health Research and Prevention Amendments of 1998</t>
  </si>
  <si>
    <t>National program of cancer registries</t>
  </si>
  <si>
    <t>Native American Programs Act Amendments of 1998</t>
  </si>
  <si>
    <t>Sec. 3</t>
  </si>
  <si>
    <t>Native Hawaiian Revolving Fund: grant to the Office of Hawaiian Affairs of the State of Hawaii</t>
  </si>
  <si>
    <t>Health Professions Education Partnerships Act of 1998</t>
  </si>
  <si>
    <t>National Center for Health Statistics in Centers for Disease Control and Prevention - Public Health Scientific Services</t>
  </si>
  <si>
    <t>Loan repayment assistance for health professionals in the Centers for Disease Control and Prevention who conduct prevention activities or preparedness and response activities including rapid response to public health emergencies</t>
  </si>
  <si>
    <t>Peace Corps Act Amendments of 1999</t>
  </si>
  <si>
    <t>Operations of the Peace Corps</t>
  </si>
  <si>
    <t>Western Hemisphere Drug Elimination Technical Corrections Act of 1999</t>
  </si>
  <si>
    <t>International narcotics control funding</t>
  </si>
  <si>
    <t>Departments of Veterans Affairs and Housing and Urban Development, and Independent Agencies Appropriations Act, 2000</t>
  </si>
  <si>
    <t>Grants for conversion of elderly housing to assisted living facilities</t>
  </si>
  <si>
    <t>Enhanced voucher assistance for public housing residents upon expiration of contracts</t>
  </si>
  <si>
    <t>Amendments to the Immigration and Nationality Act, 1999</t>
  </si>
  <si>
    <t>Department of Health and Human Services refugee and entrant assistance programs</t>
  </si>
  <si>
    <t>Healthcare Research and Quality Act of 1999</t>
  </si>
  <si>
    <t>Health care research: Agency for Healthcare Research and Quality</t>
  </si>
  <si>
    <t>Beaches Environmental Assessment and Coastal Health Act of 2000</t>
  </si>
  <si>
    <t>Coastal recreation water quality monitoring and notification</t>
  </si>
  <si>
    <t>Adoption of coastal recreation water quality criteria and standards by the states; revisions to water quality criteria; reports to the Congress</t>
  </si>
  <si>
    <t>Department of the Interior and Related Agencies Appropriations Act, 2001</t>
  </si>
  <si>
    <t>Sec. 148</t>
  </si>
  <si>
    <t>Southwestern Pennsylvania Heritage Preservation Commission</t>
  </si>
  <si>
    <t>Children's Health Act of 2000</t>
  </si>
  <si>
    <t>Diabetes in children and youth: collection of information and surveillance about juvenile diabetes through the Centers for Disease Control and Prevention and a national public health effort by the Secretary of Health and Human Services to address type 2 diabetes in youth, including enhanced surveillance and research and development and improvement of laboratory methods of diagnosis, treatment, and prevention</t>
  </si>
  <si>
    <t>Sec. 2401</t>
  </si>
  <si>
    <t>Childhood nutrition and physical activity: grants through the Centers for Disease Control and Prevention for development and implementation of state-and community-based intervention programs to promote good nutrition and physical activity in children and adolescents and to provide technical assistance to states and political subdivisions to develop and implement programs and disseminate information on prevention and treatment of obesity</t>
  </si>
  <si>
    <t>Sec. 2501</t>
  </si>
  <si>
    <t>Prevention efforts to combat childhood lead poisoning: development and implementation of effective data management by the Centers for Disease Control and Prevention through improvement of data linkages with national, state, and local health departments, assistance with development of data management systems, improvement of state-based data management and federally funded means-tested public benefit programs to respond to inquiries about lead blood level screening to include the capacity to assess the number of children being screened, and the establishment of performance measures for each of those activities</t>
  </si>
  <si>
    <t>Sec. 501</t>
  </si>
  <si>
    <t>Children's asthma grants program: access to medical care for children who live in areas that have a high prevalence of asthma and who lack access to medical care, on-site education and training to parents, children, and health care professionals and training in the use of medications, providing medication to individuals who have not previously had access, and other services, such as smoking cessation programs, home modification, and other direct and support services that ameliorate conditions that exacerbate or induce asthma</t>
  </si>
  <si>
    <t>Sec. 801</t>
  </si>
  <si>
    <t>Epilepsy: grants from the Secretary of Health and Human Services to develop and implement public health surveillance, education, research, and intervention strategies to improve the lives of persons with epilepsy, with a particular emphasis on children, and through the Health Resources and Services Administration, and to develop seizure disorder demonstration projects</t>
  </si>
  <si>
    <t>Sec. 2502</t>
  </si>
  <si>
    <t>Lead poisoning related activities: grants for public health activities where preschool-age children may have an elevated blood lead level for outreach and community education, individual family education activities, and the development, coordination, and implementation of community-based approaches for comprehensive lead poisoning prevention</t>
  </si>
  <si>
    <t>Sec. 2503</t>
  </si>
  <si>
    <t>Training and reports on childhood lead poisoning: grants through the Administrator of the Health Resources and Services Administration for education and training programs for physicians and other health care providers regarding childhood lead poisoning, current screening and treatment recommendations and requirements, and reporting annually on the number of children receiving services at a health center and receiving a blood test for lead poisoning</t>
  </si>
  <si>
    <t>Sec. 2504</t>
  </si>
  <si>
    <t>Screenings, referrals, and education regarding lead poisoning: grants through the Director of the Centers for Disease Control and Prevention for the initiation and expansion of community programs designed to provide for infants and children screening for elevated blood lead levels, referral for treatment of such levels, referral for environmental intervention associated with such levels, and to provide education about childhood lead poisoning</t>
  </si>
  <si>
    <t>Sec. 1210</t>
  </si>
  <si>
    <t>Infant adoption awareness: grants from the Secretary of Health and Human Services for development and implementation of programs to train staff of health centers in providing adoption information and referrals to pregnant women</t>
  </si>
  <si>
    <t>Sec. 1211(a &amp; b)</t>
  </si>
  <si>
    <t>Special needs adoption awareness campaign: grants by the Secretary of Health and Human Services for the planning, development, and implementation of a national campaign to provide information to the public on adoption of children with special needs and a national resources program that makes available to the public information regarding the adoption of children with special needs</t>
  </si>
  <si>
    <t>Sec. 2301</t>
  </si>
  <si>
    <t>Tourette syndrome: grants for the development and implementation of outreach programs by the Secretary of Health and Human Services to educate about the etiology, symptoms, diagnosis, and treatment of Tourette syndrome, with a particular emphasis on children with Tourette syndrome</t>
  </si>
  <si>
    <t>Sec. 1101</t>
  </si>
  <si>
    <t>Childhood Cancer (malignancies): Grants or contracts through the Director of the Centers for Disease Control and Prevention and the Director of the National Institutes of Health to study environmental and other risk factors for childhood cancers and improve outcomes; activities include the expansion of current demographic data collection and development of uniform reporting system</t>
  </si>
  <si>
    <t>Sec. 1601</t>
  </si>
  <si>
    <t>Oral health promotion and disease prevention in high risk populations: through the Maternal and Child Health Bureau, the Indian Health Service, and in consultation with the National Institutes of Health and the Centers for Disease Control and Prevention, community-based research that is designed to improve understanding of the etiology, pathogenesis, diagnosis, prevention, and treatment of pediatric oral, dental, and craniofacial diseases and conditions in high-risk populations, demonstrations of preventive interventions in high-risk populations, and clinical approaches to assess individual patients for the risk of pediatric dental disease</t>
  </si>
  <si>
    <t>Sec. 1602</t>
  </si>
  <si>
    <t>Oral health promotion and disease prevention: grants through the Director of the Centers for Disease Control and Prevention to states and Indian tribes for increasing the resources available for community water fluoridation, establishing a demonstration project that is designed to assist rural water systems in successfully implementing the water fluoridation guidelines, and development of school-based dental sealant programs</t>
  </si>
  <si>
    <t>Sec. 3106</t>
  </si>
  <si>
    <t>Services for children and families of substance abusers: grants through the Administrator of the Substance Abuse and Mental Health Services Administration to carry out programs and services for children and families of substance abusers</t>
  </si>
  <si>
    <t>Sec. 3110</t>
  </si>
  <si>
    <t>Centers of excellence on services for individuals with fetal alcohol syndrome and alcohol-related birth defects and treatment for individuals with such conditions and their families: grants for establishing centers of excellence to study techniques for the prevention of fetal alcohol syndrome and alcohol-related birth defects, adaptations of innovative clinical interventions and service delivery improvements for the provision of comprehensive services to individuals with fetal alcohol syndrome or alcohol-related birth defects and their families, and for providing training on such conditions</t>
  </si>
  <si>
    <t>Sec. 3206</t>
  </si>
  <si>
    <t>Protection and advocacy systems for the mentally ill: allotments to states for systems to ensure that the rights of individuals with mental illness are protected and to assist states to establish and operate a protection and advocacy system for individuals with mental illness</t>
  </si>
  <si>
    <t>Sec. 3212</t>
  </si>
  <si>
    <t>Integrated treatment of serious mental illness and co-occurring substance abuse: grants for the development or expansion of programs to provide integrated treatment services for individuals with a serious mental illness and a co-occurring substance abuse disorder</t>
  </si>
  <si>
    <t>Sec. 3101</t>
  </si>
  <si>
    <t>Projects for children and violence: directly or through grants a program to assist local communities in developing ways to assist children in dealing with violence</t>
  </si>
  <si>
    <t>Sec. 3404</t>
  </si>
  <si>
    <t>Data infrastructure development: grants for developing and operating mental health or substance abuse data collection, analysis, and reporting systems with regard to performance measures including capacity, process, and outcomes measures</t>
  </si>
  <si>
    <t>Sec. 601</t>
  </si>
  <si>
    <t>Research into effects of folic acid in prevention of birth defects</t>
  </si>
  <si>
    <t>Sec. 1306</t>
  </si>
  <si>
    <t>Injury control and prevention research through the Centers for Disease Control and Prevention</t>
  </si>
  <si>
    <t>Developmental Disabilities Assistance and Bill of Rights Act of 2000</t>
  </si>
  <si>
    <t>Sec. 129</t>
  </si>
  <si>
    <t>Allotments to state Councils on Developmental Disabilities; state allotments for protection and advocacy of individual rights; national network of university centers for excellence in developmental disabilities education, research, and service; projects of national significance</t>
  </si>
  <si>
    <t>Sec. 212</t>
  </si>
  <si>
    <t>Grants to states for support program for families with children with disabilities</t>
  </si>
  <si>
    <t>Estuaries and Clean Waters Act of 2000</t>
  </si>
  <si>
    <t>Sec. 902</t>
  </si>
  <si>
    <t>Long-term estuary assessment; United States Geological Survey support</t>
  </si>
  <si>
    <t>Public Health Improvement Act of 2000</t>
  </si>
  <si>
    <t>Sec. 411</t>
  </si>
  <si>
    <t>Rural access to emergency devices: grants from the Health Resources and Services Administration to increase rural access to emergency devices, particularly automated external defibrillators</t>
  </si>
  <si>
    <t>Prostate cancer research and preventive health measures</t>
  </si>
  <si>
    <t>National Marine Sanctuaries Amendments Act of 2000</t>
  </si>
  <si>
    <t>Sec. 14</t>
  </si>
  <si>
    <t>Development of national marine sanctuaries</t>
  </si>
  <si>
    <t>Construction projects at national marine sanctuaries</t>
  </si>
  <si>
    <t>Water Resources Development Act of 2000</t>
  </si>
  <si>
    <t>Charleston Harbor, South Carolina: harbor projects including planning, design, construction, and evaluation</t>
  </si>
  <si>
    <t>DNA Analysis Backlog Elimination Act of 2000</t>
  </si>
  <si>
    <t>District of Columbia Court Services and Offender Supervision Agency for DNA samples from offenders</t>
  </si>
  <si>
    <t>Consolidated Appropriations Act, 2001</t>
  </si>
  <si>
    <t>Northwestern Hawaiian Islands National Marine Sanctuary</t>
  </si>
  <si>
    <t>New Markets Venture Capital program; loan guarantees and grants; $6.6 million per year for business grants and cooperative agreements</t>
  </si>
  <si>
    <t>Striped Bass Conservation, Atlantic Coastal Fisheries Management, and Marine Mammal Rescue Assistance Act of 2000</t>
  </si>
  <si>
    <t>Department of Interior: John H. Prescott Marine Mammal Rescue Assistance Grant Program</t>
  </si>
  <si>
    <t>Department of Commerce: John H. Prescott Marine Mammal Rescue Assistance grant program</t>
  </si>
  <si>
    <t>National Oceanic and Atmospheric Administration Withdrawal From Pribilof Islands and Coral Reef Act of 2000</t>
  </si>
  <si>
    <t>Sec. 209(a)</t>
  </si>
  <si>
    <t>Coral reef conservation activities; national coral reef activities</t>
  </si>
  <si>
    <t>Omnibus Indian Advancement Act of 2000</t>
  </si>
  <si>
    <t>Native Hawaiian affordable housing programs and loan guarantees for Native Hawaiian housing</t>
  </si>
  <si>
    <t>American Homeownership and Economic Opportunity Act of 2000</t>
  </si>
  <si>
    <t>Removal of regulatory barriers to homeownership</t>
  </si>
  <si>
    <t>Assistance for self-help housing providers</t>
  </si>
  <si>
    <t>Homeownership pilot programs</t>
  </si>
  <si>
    <t>Supportive housing for the elderly; service coordinators and congregate services for elderly and disabled housing</t>
  </si>
  <si>
    <t>USA PATRIOT Act, 2001</t>
  </si>
  <si>
    <t>Sec. 416(d)</t>
  </si>
  <si>
    <t>Foreign student monitoring program</t>
  </si>
  <si>
    <t>Bureau of Justice Assistance program to share information among federal, state, and local law enforcement agencies to combat terrorism</t>
  </si>
  <si>
    <t>Grants made by the Office of Justice Programs (Office of State and Local Preparedness) to help states and localities prepare for terrorist attacks</t>
  </si>
  <si>
    <t>Public Health Security and Bioterrorism Preparedness and Response Act of 2002</t>
  </si>
  <si>
    <t>Grants to alleviate shortages of certain health professionals who would respond to bioterrorism or other public health emergencies</t>
  </si>
  <si>
    <t>Department of Agriculture program to control biological agents and toxins that threaten animal or plant health</t>
  </si>
  <si>
    <t>Subcommittee on Agriculture, Rural Development, FDA, and Related Agencies</t>
  </si>
  <si>
    <t>Department of Agriculture program to improve protections against adulteration of food</t>
  </si>
  <si>
    <t>Sec. 311</t>
  </si>
  <si>
    <t>Grants to states for food inspection</t>
  </si>
  <si>
    <t>Sec. 312</t>
  </si>
  <si>
    <t>Food safety grants</t>
  </si>
  <si>
    <t>Sec. 333</t>
  </si>
  <si>
    <t>Biosecurity upgrades for certain Department of Agriculture facilities</t>
  </si>
  <si>
    <t>Community water system vulnerability assessments and emergency response plans</t>
  </si>
  <si>
    <t>Trade Act of 2002</t>
  </si>
  <si>
    <t>Sec. 361(a)</t>
  </si>
  <si>
    <t>Office of the United States Trade Representative</t>
  </si>
  <si>
    <t>Senate Committee on Finance</t>
  </si>
  <si>
    <t>Sec. 371(a)</t>
  </si>
  <si>
    <t>International Trade Commission</t>
  </si>
  <si>
    <t>Foreign Relations Authorization Act, Fiscal Year 2003</t>
  </si>
  <si>
    <t>Sec. 111(a)(1)</t>
  </si>
  <si>
    <t>Administration of foreign affairs: diplomatic and consular programs including worldwide security upgrades; Bureau of Democracy, Human Rights, and Labor; and recruitment of minority groups</t>
  </si>
  <si>
    <t>Sec. 111(a)(2)</t>
  </si>
  <si>
    <t>Administration of foreign affairs: capital investment fund</t>
  </si>
  <si>
    <t>Sec. 111(a)(3)</t>
  </si>
  <si>
    <t>Administration of foreign affairs: embassy security, construction, and maintenance, including worldwide security upgrades</t>
  </si>
  <si>
    <t>Sec. 111(a)(4)</t>
  </si>
  <si>
    <t>Administration of foreign affairs: representation allowances</t>
  </si>
  <si>
    <t>Sec. 111(a)(5)</t>
  </si>
  <si>
    <t>Administration of foreign affairs: protection of foreign missions and officials</t>
  </si>
  <si>
    <t>Sec. 111(a)(6)</t>
  </si>
  <si>
    <t>Administration of foreign affairs: emergencies in the diplomatic and consular service</t>
  </si>
  <si>
    <t>Sec. 111(a)(7)</t>
  </si>
  <si>
    <t>Administration of foreign affairs: repatriation loans</t>
  </si>
  <si>
    <t>Sec. 111(a)(9)</t>
  </si>
  <si>
    <t>Administration of foreign affairs: office of inspector general</t>
  </si>
  <si>
    <t>Educational, cultural, and public diplomacy programs: educational and cultural exchange programs including the Fulbright academic exchange programs</t>
  </si>
  <si>
    <t>Educational, cultural, and public diplomacy programs: other educational and cultural exchange programs</t>
  </si>
  <si>
    <t>Sec. 112(2)</t>
  </si>
  <si>
    <t>Educational, cultural, and public diplomacy programs: National Endowment for Democracy including Reagan-Fascell Democracy Fellows</t>
  </si>
  <si>
    <t>Sec. 112(3)</t>
  </si>
  <si>
    <t>Educational, cultural, and public diplomacy programs: Center for Cultural and Technical Interchange Between East and West</t>
  </si>
  <si>
    <t>Educational, cultural, and public diplomacy programs: Dante B. Fascell North-South Center</t>
  </si>
  <si>
    <t>Sec. 113(a)</t>
  </si>
  <si>
    <t>Contributions to international organizations: assessed contributions to international organizations</t>
  </si>
  <si>
    <t>Sec. 113(b)</t>
  </si>
  <si>
    <t>Contributions to international organizations: contributions for international peacekeeping</t>
  </si>
  <si>
    <t>Sec. 113(d)</t>
  </si>
  <si>
    <t>Contributions to international organizations: funds to offset adverse fluctuations in foreign currency exchange rates</t>
  </si>
  <si>
    <t>International commissions: International Boundary and Water Commission salaries and expenses</t>
  </si>
  <si>
    <t>Sec. 114(1)(B)</t>
  </si>
  <si>
    <t>International commissions: International Boundary and Water Commission construction</t>
  </si>
  <si>
    <t>International commissions: International Boundary Commission, United States and Canada</t>
  </si>
  <si>
    <t>Sec. 114(4)</t>
  </si>
  <si>
    <t>International commissions: International Fisheries Commissions</t>
  </si>
  <si>
    <t>Sec. 115</t>
  </si>
  <si>
    <t>Migration and refugee assistance including resettlement expenses and humanitarian assistance</t>
  </si>
  <si>
    <t>Sec. 116</t>
  </si>
  <si>
    <t>Grants to the Asia Foundation</t>
  </si>
  <si>
    <t>Sec. 121(a)(1)</t>
  </si>
  <si>
    <t>United States international broadcasting activities: operations including Radio Free Asia</t>
  </si>
  <si>
    <t>Sec. 121(a)(2)</t>
  </si>
  <si>
    <t>United States international broadcasting activities: broadcasting capital improvements</t>
  </si>
  <si>
    <t>Sec. 121(c)</t>
  </si>
  <si>
    <t>United States international broadcasting activities: additional authorization for the Middle East Radio Network of Voice of America</t>
  </si>
  <si>
    <t>Sec. 1201</t>
  </si>
  <si>
    <t>Foreign military sales and financing: grant assistance and direct loan subsidy costs</t>
  </si>
  <si>
    <t>Sec. 1211</t>
  </si>
  <si>
    <t>International military education and training</t>
  </si>
  <si>
    <t>Sec. 121(a)(3)</t>
  </si>
  <si>
    <t>United States international broadcasting activities: broadcasting to Cuba</t>
  </si>
  <si>
    <t>Sec. 121(b)</t>
  </si>
  <si>
    <t>United States international broadcasting activities: continuation of additional authorization for broadcasting to People's Republic of China and neighboring countries, enhancements for Radio Free Asia's broadcasting capabilities, and Voice of America enhancements including expansion of service</t>
  </si>
  <si>
    <t>Help America Vote Act of 2002</t>
  </si>
  <si>
    <t>Sec. 210</t>
  </si>
  <si>
    <t>Election Assistance Commission operations</t>
  </si>
  <si>
    <t>Sec. 263</t>
  </si>
  <si>
    <t>Voting access for people with disabilities</t>
  </si>
  <si>
    <t>An act to provide for improvement of federal education research, statistics, evaluation, information, and dissemination, and for other purposes</t>
  </si>
  <si>
    <t>Education sciences reform: Institute of Education Sciences, National Center for Education Research, National Center for Education Statistics, and National Center for Education Evaluation and Regional Assistance other than regional education laboratories</t>
  </si>
  <si>
    <t>Regional Education Laboratories</t>
  </si>
  <si>
    <t>Grants to local entities, or consortia of such entities, with demonstrated expertise in providing technical assistance and professional development in reading, mathematics, science, and technology, especially to low-performing schools and districts, to establish comprehensive centers under the Educational Technical Assistance Act of 2002</t>
  </si>
  <si>
    <t>Department of Veterans Affairs Emergency Preparedness Act of 2002</t>
  </si>
  <si>
    <t>Department of Veterans Affairs: medical emergency preparedness centers</t>
  </si>
  <si>
    <t>Maritime Transportation Security Act of 2002</t>
  </si>
  <si>
    <t>Maritime security professional training</t>
  </si>
  <si>
    <t>An act to reauthorize the Merit Systems Protection Board and the Office of Special Counsel, and for other</t>
  </si>
  <si>
    <t>Merit Systems Protection Board</t>
  </si>
  <si>
    <t>Afghanistan Freedom Support Act of 2002</t>
  </si>
  <si>
    <t>Contribution to the United Nations Drug Control Program for counternarcotics efforts in Afghanistan</t>
  </si>
  <si>
    <t>Assistance to Afghanistan for an Afghan assembly and for support for national, regional, and local elections and political party development</t>
  </si>
  <si>
    <t>Assistance to the Afghan Ministry of Women's Affairs and the National Human Rights Commission of Afghanistan; appropriations of $175 million provided for this and related purposes in fiscal year 2010 are included in the expired authorizations for the economic support fund and international narcotics control and law enforcement</t>
  </si>
  <si>
    <t>Support for the International Security Assistance Force for Afghanistan</t>
  </si>
  <si>
    <t>E-Government Act of 2002</t>
  </si>
  <si>
    <t>General Services Administration E-Government Fund</t>
  </si>
  <si>
    <t>General Services Administration program to maintain, improve, and promote an integrated federal Internet portal for public access to government information and services</t>
  </si>
  <si>
    <t>Office of Management and Budget coordinated program to develop and maintain a governmentwide repository and website about federal government research and development</t>
  </si>
  <si>
    <t>General Services Administration program to study best practices at community technology centers, develop and disseminate online tutorials, and promote community technology centers generally</t>
  </si>
  <si>
    <t>General Services Administration program to develop and maintain common protocols for geographic information systems</t>
  </si>
  <si>
    <t>Office of Management and Budget coordinated program to ensure governmentwide information security</t>
  </si>
  <si>
    <t>Office of Management and Budget, Office of Electronic Government, for management and promotion of electronic government services</t>
  </si>
  <si>
    <t>An act to reauthorize the Mni Wiconi Rural Water Supply Project</t>
  </si>
  <si>
    <t>Extend authorization for the Oglala Sioux Rural Water Supply System, the Rosebud Sioux Rural Water Supply System, the Lower Brule Sioux Rural Water Supply System, the West River Rural Water Supply System, and the Lyman-Jones Rural Water Supply System</t>
  </si>
  <si>
    <t>An act to reauthorize the Hydrographic Services Improvement Act of 1988, and for other purposes</t>
  </si>
  <si>
    <t>National Oceanic and Atmospheric Administration, Chesapeake Bay Office</t>
  </si>
  <si>
    <t>Consolidated Appropriations Resolution, 2003</t>
  </si>
  <si>
    <t>Sec. 150</t>
  </si>
  <si>
    <t>Historic Preservation Fund: Decreased cost-sharing requirement for Historically Black Colleges and Universities</t>
  </si>
  <si>
    <t>PROTECT Act</t>
  </si>
  <si>
    <t>To establish and enhance fingerprint technology and infrastructure for criminal history background checks</t>
  </si>
  <si>
    <t>Grants for a notification and communication system along the highways for the recovery of abducted children</t>
  </si>
  <si>
    <t>Zuni Indian Tribe Water Rights Settlement Act of 2003</t>
  </si>
  <si>
    <t>Sec. 4(b)</t>
  </si>
  <si>
    <t>Authorization for the Zuni Indian Tribe Water Rights Development Fund</t>
  </si>
  <si>
    <t>Prison Rape Elimination Act of 2003</t>
  </si>
  <si>
    <t>Sec. 4(e)</t>
  </si>
  <si>
    <t>National prison rape statistics, data, and research</t>
  </si>
  <si>
    <t>Sec. 5(c)</t>
  </si>
  <si>
    <t>Prison rape prevention and prosecution</t>
  </si>
  <si>
    <t>Sec. 6(g)(1)</t>
  </si>
  <si>
    <t>Grants to protect inmates and safeguard communities</t>
  </si>
  <si>
    <t>Tornado Shelters Act</t>
  </si>
  <si>
    <t>Construction of tornado-safe shelters for residents of manufactured housing, and for the provision of assistance to not-for-profit and for-profit entities for such construction or improvement</t>
  </si>
  <si>
    <t>21st Century Nanotechnology Research and Development Act</t>
  </si>
  <si>
    <t>Sec. 6(e)</t>
  </si>
  <si>
    <t>Funding for the Secretary of Energy for relevant responsibilities under the 21st Century Nanotechnology Research and Development Act</t>
  </si>
  <si>
    <t>Authorizing appropriations to enable the administrator of the Environmental Protection Agency for relevant responsibilities under this act</t>
  </si>
  <si>
    <t>Birth Defects and Developmental Disabilities Prevention Act of 2003</t>
  </si>
  <si>
    <t>National Center on Birth Defects and Developmental Disabilities within the Centers for Disease Control and Prevention</t>
  </si>
  <si>
    <t>Fair and Accurate Credit Transactions Act of 2003</t>
  </si>
  <si>
    <t>Multimedia advertising campaign to promote awareness of identity theft prevention, improvements in consumer dispute resolution and consumer access to credit information, and for other purposes</t>
  </si>
  <si>
    <t>Vision 100—Century of Aviation Reauthorization Act</t>
  </si>
  <si>
    <t>Environmental Research and Development</t>
  </si>
  <si>
    <t>Federal Aviation Administration; Science and Technology Scholarship Program</t>
  </si>
  <si>
    <t>The Veterans Benefits Act of 2003</t>
  </si>
  <si>
    <t>Veterans Advisory Committee on Education</t>
  </si>
  <si>
    <t>American Dream Downpayment Act</t>
  </si>
  <si>
    <t>Down payment assistance initiative</t>
  </si>
  <si>
    <t>Compact of Free Association Amendments Act of 2003</t>
  </si>
  <si>
    <t>Sec. 103(f)(2)</t>
  </si>
  <si>
    <t>Planting and agricultural maintenance program on Enewetak. $1.3 million per year, adjusted for inflation.</t>
  </si>
  <si>
    <t>Sec. 104(e)(3)</t>
  </si>
  <si>
    <t>Grants to affected jurisdictions to aid in defraying costs incurred by affected jurisdictions as a result of increased demands placed on health, educational, social, or public safety services or infrastructure related to such services due to residence in affected jurisdictions of qualified nonimmigrants from Marshall Islands, Micronesia or Palau.</t>
  </si>
  <si>
    <t>Sec. 104(e)(10)</t>
  </si>
  <si>
    <t>Such sums as may be necessary for grants to Guam, Hawaii, Northern Marianas, American Samoa as a resulted of increased demands on educational, social or public safety services or infrastructure due to the presence of qualified nonimmigrants.</t>
  </si>
  <si>
    <t>Sec. 105(f)(1)</t>
  </si>
  <si>
    <t>Supplemental educations grants in lieu of eligibility for other appropriations, $12.23 million in 2005 and an equivalent amount as adjusted for inflation in 2006 - 2023, for the Federated States of Micronesia.</t>
  </si>
  <si>
    <t>Supplemental education grants in lieu of eligibility for other appropriations, $6.1 million for the Marshall Islands for FY2005, and equivalent amount, as adjusted for inflation, for FY2006-2023.</t>
  </si>
  <si>
    <t>Sec. 105(i)</t>
  </si>
  <si>
    <t>Training of judges and officials of the judiciary of Micronesia and the Marshall Islands, in cooperation with the Pacific Islands Committee of the Ninth Circuit Judicial Council.</t>
  </si>
  <si>
    <t>Omnibus Consolidated Appropriations Act of 2004</t>
  </si>
  <si>
    <t>Millennium Challenge Fund</t>
  </si>
  <si>
    <t>Congo Basin Forest Partnership Act of 2004</t>
  </si>
  <si>
    <t>To carry out the Congo Basin Forest Partnership program</t>
  </si>
  <si>
    <t>Native American Technical Corrections Act of 2004</t>
  </si>
  <si>
    <t>Extends the authority given for maintaining and operating the Four Corners Interpretive Center as provided in the Four Corners Interpretive Center Act, P.L. 106-143</t>
  </si>
  <si>
    <t>Organ Donation and Recovery Improvement Act</t>
  </si>
  <si>
    <t>Reimbursement of travel and subsistence expenses incurred toward living organ donation; the Secretary of Health and Human Services may award grants to states, transplant centers, organ procurement organizations qualified under section 371, or other public or private entities; to be funded either in the Health Resources and Services Administration or Centers for Medicare and Medicaid Services</t>
  </si>
  <si>
    <t>Sec. 5</t>
  </si>
  <si>
    <t>Grants to organ procurement organizations: the Secretary of Health and Human Services may award grants to qualified organ procurement organizations and hospitals to establish programs coordinating organ donation activities to increase the rate of organ donations for such hospitals</t>
  </si>
  <si>
    <t>Organ donation public awareness program: for Secretary of Health and Human Services to establish a public education program to increase awareness about organ donation; make peer-reviewed grants to carry out studies and demonstration projects to increase organ donation and recovery rates, including living donation, funded through the Agency for Healthcare Research and Quality</t>
  </si>
  <si>
    <t>Identity Theft Penalty Act</t>
  </si>
  <si>
    <t>To investigate and prosecute identity theft</t>
  </si>
  <si>
    <t>An act to amend the Safe Drinking Water Act to reauthorize the New York City Watershed Protection Program</t>
  </si>
  <si>
    <t>New York City Watershed Protection Program</t>
  </si>
  <si>
    <t>Chimayo Water Supply System and Espanola Filtration Facility Act of 2004</t>
  </si>
  <si>
    <t>Authorizes the Secretary of the Interior to enter into contracts with water authorities in Chimayo, New Mexico to provide emergency water supply development assistance to any eligible person or entity; authorized $3 million for the period of fiscal year 2005 to 2010</t>
  </si>
  <si>
    <t>Provides the authority for the Secretary of the Interior to provide financial assistance to the City of Espanola, New Mexico, for the construction of Espanola water filtration projects; authorized $3 million for the period of fiscal years 2005 to 2009</t>
  </si>
  <si>
    <t>Assistive Technology Act of 2004</t>
  </si>
  <si>
    <t>Sec. 4, 6, 8</t>
  </si>
  <si>
    <t>State grants for assistive technology (sec. 4) and national activities (sec. 6 and sec. 8(a))</t>
  </si>
  <si>
    <t>Sec. 8(b)</t>
  </si>
  <si>
    <t>State grants for protection and advocacy services related to assistive technology</t>
  </si>
  <si>
    <t>State Justice Institute Reauthorization Act of 2004</t>
  </si>
  <si>
    <t>State Justice Institute</t>
  </si>
  <si>
    <t>Economic Development Administration Reauthorization Act of 2004</t>
  </si>
  <si>
    <t>Economic development assistance programs</t>
  </si>
  <si>
    <t>American Indian Probate Reform Act of 2004</t>
  </si>
  <si>
    <t>Fractional interest acquisition program under the Indian Land Consolidation Act</t>
  </si>
  <si>
    <t>National Archives and Records Administration Efficiency Act of 2004</t>
  </si>
  <si>
    <t>National Historical Publications and Records Commission</t>
  </si>
  <si>
    <t>Brown Tree Snake Control and Eradication Act of 2004</t>
  </si>
  <si>
    <t>Sec. 4(c)(3)</t>
  </si>
  <si>
    <t>For activities related to brown tree snake control and eradication conducted through the Office of Insular Affairs</t>
  </si>
  <si>
    <t>Senate Committee on Agriculture, Nutrition, and Forestry</t>
  </si>
  <si>
    <t>Sec. 4(c)(4)</t>
  </si>
  <si>
    <t>For activities related to brown tree snake control and eradication conducted through the Fish and Wildlife Service</t>
  </si>
  <si>
    <t>Sec. 4(c)(5)</t>
  </si>
  <si>
    <t>For activities related to brown tree snake control and eradication conducted through the United States Geological Survey, Biological Resources Division</t>
  </si>
  <si>
    <t>Sec. 5(d)</t>
  </si>
  <si>
    <t>To the Secretaries of the Interior and Agriculture for the establishment of quarantine protocols to stop the introduction and spread of the brown tree snake</t>
  </si>
  <si>
    <t>Sec. 7</t>
  </si>
  <si>
    <t>Tree Snake Technical Working Group; Department of the Interior and Department of Agriculture</t>
  </si>
  <si>
    <t>Justice for All Act of 2004</t>
  </si>
  <si>
    <t>Sec. 103(a)</t>
  </si>
  <si>
    <t>Crime victims notification grants</t>
  </si>
  <si>
    <t>Sec. 303(b)</t>
  </si>
  <si>
    <t>DNA research and development</t>
  </si>
  <si>
    <t>Sec. 306(d)</t>
  </si>
  <si>
    <t>National Forensic Science Commission</t>
  </si>
  <si>
    <t>Sec. 308(c)</t>
  </si>
  <si>
    <t>DNA identification of missing persons</t>
  </si>
  <si>
    <t>Sec. 426(a)</t>
  </si>
  <si>
    <t>Grants to improve the quality of representation in state capital cases, including prosecution and representation for indigent defendants.</t>
  </si>
  <si>
    <t>California Missions Preservation Act</t>
  </si>
  <si>
    <t>Cooperative agreements with the National Park Service and the California Missions Foundation; provide technical and financial assistance to the foundation to restore and repair the California missions and the artwork and artifacts associated with California missions; $10 million for fiscal years 2004 to 2009</t>
  </si>
  <si>
    <t>Highlands Conservation Act</t>
  </si>
  <si>
    <t>For the Forest Service in consultation with the Natural Resources Conservation Service to provide assistance to the Highlands states, local units of government, and private forest and farm landowners in the conservation of natural resources by undertaking studies, communicating the findings of the studies, and assisting in identifying and using Forest Service programs, and for other technical and assistance programs of the department</t>
  </si>
  <si>
    <t>Veterans Health Programs Improvement Act of 2004</t>
  </si>
  <si>
    <t>Centers for research, education, and clinical activities on complex multitrauma associated with combat injuries</t>
  </si>
  <si>
    <t>Enhancement of medical preparedness of the Department of Veterans Affairs: medical preparedness centers authorization</t>
  </si>
  <si>
    <t>Individuals With Disabilities Education Improvement Act of 2004</t>
  </si>
  <si>
    <t>Div. C, sec. 644</t>
  </si>
  <si>
    <t>Infants and Toddlers With Disabilities Program: grants to states to assist each state to maintain and implement a statewide, comprehensive, coordinated, multidisciplinary, interagency system to provide early intervention services for infants and toddlers with disabilities and their families</t>
  </si>
  <si>
    <t>Div. D, sec. 655</t>
  </si>
  <si>
    <t>National Activities to Improve Education of Children With Disabilities: grants to state educational agencies to assist in reforming and improving their systems for personnel preparation and professional development in early intervention, educational, and transition services in order to improve results for children with disabilities</t>
  </si>
  <si>
    <t>Sec. 667</t>
  </si>
  <si>
    <t>National Activities to Improve Education of Children With Disabilities: funding for personnel preparation, technical assistance, model demonstration projects, information dissemination, and studies and evaluations in order to improve early intervention, educational, and transitional results for children with disabilities; to assist state educational agencies and local educational agencies in improving personnel preparation; technical assistance, demonstration projects, and dissemination of information</t>
  </si>
  <si>
    <t>Consolidated Appropriations Act, 2005</t>
  </si>
  <si>
    <t>Div. B, sec. 905</t>
  </si>
  <si>
    <t>National Oceanic and Atmospheric Administration: Oceans and Human Health Initiative</t>
  </si>
  <si>
    <t>Div. J, sec. 8(h)(1)</t>
  </si>
  <si>
    <t>Nez Perce Tribe Water and Fisheries Fund to be maintained by the Secretary of the Interior; Snake River Water Rights Act of 2004</t>
  </si>
  <si>
    <t>Div. J, sec. 8(h)(2)</t>
  </si>
  <si>
    <t>Nez Perce Tribe Domestic Water Supply Fund to be maintained by the Secretary of the Interior; Snake River Water Rights Act of 2004</t>
  </si>
  <si>
    <t>Div. J, sec. 9(d)(2)</t>
  </si>
  <si>
    <t>Nez Perce Tribe Salmon and Clearwater River Basins Habitat Account to be maintained by the Secretary of the Interior; Snake River Water Rights Act of 2004</t>
  </si>
  <si>
    <t>Div. J, sec. 9(d)(1)</t>
  </si>
  <si>
    <t>Idaho Salmon and Clearwater River Basins Habitat Account to be maintained by the Secretary of the Interior</t>
  </si>
  <si>
    <t>Intelligence Reform and Terrorism Prevention Act of 2004</t>
  </si>
  <si>
    <t>Sec. 7108</t>
  </si>
  <si>
    <t>To carry out broadcasting activities to promote free media and other American values</t>
  </si>
  <si>
    <t>Sec. 7108(d)(2)</t>
  </si>
  <si>
    <t>For grants to the National Endowment for Democracy to provide funding to a private-sector group to establish and manage a free and independent media network</t>
  </si>
  <si>
    <t>Sec. 7112</t>
  </si>
  <si>
    <t>Pilot program to provide grants for scholarships to American-sponsored schools in predominantly Muslim countries; funds are strictly for grants to be given by the Secretary of State, not for the Office of Overseas Schools operations</t>
  </si>
  <si>
    <t>Sec. 7206</t>
  </si>
  <si>
    <t>Immigration Security Initiative: to carry out the amendment to the Carrier Consultant Program under section 235A(b) of the Immigration and Nationality Act (8 U.S.C. 1225a(b)), which assigns immigration officers to assist air carriers in the detection of fraudulent documents at foreign airports; the new program is to be called Carrier Consultant Program and Immigration Security Initiative</t>
  </si>
  <si>
    <t>Sec. 7208</t>
  </si>
  <si>
    <t>Biometric Entry and Exit Data System: authorized to be appropriated to the Secretary of Homeland Security such sums as are necessary to develop a plan to accelerate the full implementation of the biometric entry and exit data system</t>
  </si>
  <si>
    <t>House Committee on Homeland Security</t>
  </si>
  <si>
    <t>Sec. 7303</t>
  </si>
  <si>
    <t>Enhancement of Public Safety Communications Interoperability: for the Secretary of Homeland Security to establish a program to enhance interoperable public safety communications at all levels of government</t>
  </si>
  <si>
    <t>Energy Policy Act of 2005</t>
  </si>
  <si>
    <t>Sec. 107</t>
  </si>
  <si>
    <t>Advanced Building Efficiency Testbed</t>
  </si>
  <si>
    <t>Div. B, sec. 121</t>
  </si>
  <si>
    <t>Low-Income Home Energy Assistance Program (LIHEAP)</t>
  </si>
  <si>
    <t>Sec. title 1(subtitle B)</t>
  </si>
  <si>
    <t>Energy Efficiency programs for appliance rebates and public buildings (sec. 124 and 125)</t>
  </si>
  <si>
    <t>Sec. 126</t>
  </si>
  <si>
    <t>Low income community energy efficiency pilot</t>
  </si>
  <si>
    <t>Sec. 134</t>
  </si>
  <si>
    <t>Energy Star program</t>
  </si>
  <si>
    <t>Sec. 140</t>
  </si>
  <si>
    <t>Energy efficiency pilot program</t>
  </si>
  <si>
    <t>Renewable energy production incentive</t>
  </si>
  <si>
    <t>Sec. 204</t>
  </si>
  <si>
    <t>Photovoltaic energy in public buildings</t>
  </si>
  <si>
    <t>Sec. 206</t>
  </si>
  <si>
    <t>Renewable energy security</t>
  </si>
  <si>
    <t>Sec. 209</t>
  </si>
  <si>
    <t>Rural and remote community electrification grants</t>
  </si>
  <si>
    <t>Biomass commercial use grants</t>
  </si>
  <si>
    <t>Sec. 349</t>
  </si>
  <si>
    <t>Orphaned, abandoned, and idled wells on federal land</t>
  </si>
  <si>
    <t>Clean coal power</t>
  </si>
  <si>
    <t>Sec. 417</t>
  </si>
  <si>
    <t>Transportation fuel from Illinois basin coal</t>
  </si>
  <si>
    <t>Sec. 421</t>
  </si>
  <si>
    <t>Clean coal power production</t>
  </si>
  <si>
    <t>Clean coal power use</t>
  </si>
  <si>
    <t>Sec. 706</t>
  </si>
  <si>
    <t>Joint flexible fuel/hybrid vehicle</t>
  </si>
  <si>
    <t>Sec. 712</t>
  </si>
  <si>
    <t>Efficient hybrid vehicles</t>
  </si>
  <si>
    <t>Sec. 731</t>
  </si>
  <si>
    <t>Fuel cell transit bus demonstration</t>
  </si>
  <si>
    <t>Sec. 741</t>
  </si>
  <si>
    <t>Clean school bus program</t>
  </si>
  <si>
    <t>Sec. 742</t>
  </si>
  <si>
    <t>Diesel truck retrofit and fleet modernization</t>
  </si>
  <si>
    <t>Sec. 743</t>
  </si>
  <si>
    <t>Fuel cell school buses</t>
  </si>
  <si>
    <t>Sec. 751</t>
  </si>
  <si>
    <t>Railroad efficiency</t>
  </si>
  <si>
    <t>Sec. 756</t>
  </si>
  <si>
    <t>Idle Reduction and Energy Conservation Deployment Program for heavy-duty vehicles and locomotives</t>
  </si>
  <si>
    <t>Sec. 757</t>
  </si>
  <si>
    <t>Biodiesel engine testing program</t>
  </si>
  <si>
    <t>Ultra-efficient engine technology for aircraft</t>
  </si>
  <si>
    <t>Sec. 771</t>
  </si>
  <si>
    <t>Fuel economy standards for National Highway Traffic Safety Administration to enforce and implement</t>
  </si>
  <si>
    <t>Sec. 782</t>
  </si>
  <si>
    <t>Procurement of fuel cell vehicles and hydrogen energy systems</t>
  </si>
  <si>
    <t>Sec. 783</t>
  </si>
  <si>
    <t>Federal procurement of stationary, portable, and micro fuel cells</t>
  </si>
  <si>
    <t>Sec. 805</t>
  </si>
  <si>
    <t>Projects and activities for hydrogen supply and fuel cell technologies</t>
  </si>
  <si>
    <t>Sec. title 8</t>
  </si>
  <si>
    <t>Demonstration projects (sec. 808), codes and standards (sec. 809), and reports (sec. 811, 1.5 million) for hydrogen and fuel cell technologies.</t>
  </si>
  <si>
    <t>Sec. 911</t>
  </si>
  <si>
    <t>Energy efficiency and conservation research, development, and demonstration activities</t>
  </si>
  <si>
    <t>Sec. 912</t>
  </si>
  <si>
    <t>Next generation lighting initiative</t>
  </si>
  <si>
    <t>Sec. 921</t>
  </si>
  <si>
    <t>Distributed energy and electric energy systems activities</t>
  </si>
  <si>
    <t>Sec. 945</t>
  </si>
  <si>
    <t>Regional bioeconomy development grants</t>
  </si>
  <si>
    <t>Sec. 947</t>
  </si>
  <si>
    <t>Education and outreach on biobased fuels and products</t>
  </si>
  <si>
    <t>Sec. 946</t>
  </si>
  <si>
    <t>Preprocessing and harvesting demonstration grants</t>
  </si>
  <si>
    <t>Nuclear energy core programs</t>
  </si>
  <si>
    <t>Fossil energy</t>
  </si>
  <si>
    <t>Sec. 968</t>
  </si>
  <si>
    <t>Methane hydrate research and development</t>
  </si>
  <si>
    <t>Sec. 985</t>
  </si>
  <si>
    <t>Western Hemisphere energy cooperation</t>
  </si>
  <si>
    <t>Sec. 986A</t>
  </si>
  <si>
    <t>International energy market training efforts</t>
  </si>
  <si>
    <t>Sec. 997</t>
  </si>
  <si>
    <t>Arctic engineering research center</t>
  </si>
  <si>
    <t>Sec. 999A-H</t>
  </si>
  <si>
    <t>Ultra-deepwater and unconventional natural gas and other petroleum products</t>
  </si>
  <si>
    <t>Sec. title 10</t>
  </si>
  <si>
    <t>Department of Energy management: technology infrastructure (sec. 1002, $10 million) and small business advocacy (sec. 1003, $5 million)</t>
  </si>
  <si>
    <t>Workforce trends and traineeship grants</t>
  </si>
  <si>
    <t>Sec. 1224</t>
  </si>
  <si>
    <t>Advanced power system technology incentive program</t>
  </si>
  <si>
    <t>Sec. 1405</t>
  </si>
  <si>
    <t>National priority project designation award</t>
  </si>
  <si>
    <t>Sec. 1407</t>
  </si>
  <si>
    <t>Oxygen fuel systems</t>
  </si>
  <si>
    <t>Sec. 1511</t>
  </si>
  <si>
    <t>Resource center to develop bioconversion technology at the Center for Biomass-Based Energy at Mississippi State University and Oklahoma State University</t>
  </si>
  <si>
    <t>Renewable fuel production research and development grants</t>
  </si>
  <si>
    <t>Cellulosic biomass ethanol conversion assistance</t>
  </si>
  <si>
    <t>Sec. 1512</t>
  </si>
  <si>
    <t>Conversion assistance for cellulosic biomass, waste-derived ethanol, and approved renewable fuels</t>
  </si>
  <si>
    <t>Sec. 1808</t>
  </si>
  <si>
    <t>Low-volume gas reservoir study</t>
  </si>
  <si>
    <t>Safe, Accountable, Flexible, Efficient Transportation Equity Act: A Legacy for Users</t>
  </si>
  <si>
    <t>Sec. 6015</t>
  </si>
  <si>
    <t>Clean School Bus program</t>
  </si>
  <si>
    <t>Sec. 10307</t>
  </si>
  <si>
    <t>New Car Assessment Program</t>
  </si>
  <si>
    <t>Sec. 9001</t>
  </si>
  <si>
    <t>High-speed rail technology improvements</t>
  </si>
  <si>
    <t>Sec. 10207</t>
  </si>
  <si>
    <t>Rail rehabilitation and bridge repair</t>
  </si>
  <si>
    <t>National First Responder Transportation Incident Response System</t>
  </si>
  <si>
    <t>Transportation technology innovation and demonstration program</t>
  </si>
  <si>
    <t>Department of Homeland Security Appropriations Act of 2006</t>
  </si>
  <si>
    <t>Sec. 539</t>
  </si>
  <si>
    <t>Department of Homeland Security working capital fund</t>
  </si>
  <si>
    <t>Assistance for Orphans and Other Vulnerable Children in the Developing Countries Act of 2005</t>
  </si>
  <si>
    <t>For an orphans assistance program</t>
  </si>
  <si>
    <t>Northern Arizona Land Exchange and Verde River Basin Partnership Act of 2005</t>
  </si>
  <si>
    <t>Sec. 203(b)</t>
  </si>
  <si>
    <t>Verde River Partnership: for the Secretaries of the Interior and Agriculture to coordinate and cooperate in the identification and implementation of comprehensive science-based policies, projects, and management activities of the Verde River Basin for the years 2006 to 2010</t>
  </si>
  <si>
    <t>Violence Against Women and Department of Justice Reauthorization Act of 2005</t>
  </si>
  <si>
    <t>Sec. 1106</t>
  </si>
  <si>
    <t>United States-Mexico Border Violence Task Force</t>
  </si>
  <si>
    <t>Sec. 1121</t>
  </si>
  <si>
    <t>Weed and Seed program</t>
  </si>
  <si>
    <t>Sec. 1136</t>
  </si>
  <si>
    <t>Grants for young witness assistance</t>
  </si>
  <si>
    <t>Sec. 1163(c)</t>
  </si>
  <si>
    <t>Community Oriented Policing Services programs</t>
  </si>
  <si>
    <t>Sec. 1166</t>
  </si>
  <si>
    <t>Juvenile Accountability Block Grants program</t>
  </si>
  <si>
    <t>Sec. 1169</t>
  </si>
  <si>
    <t>Matching Grant Program for School Security</t>
  </si>
  <si>
    <t>Sec. 1183</t>
  </si>
  <si>
    <t>Use of the Center for Criminal Justice Technology</t>
  </si>
  <si>
    <t>Sec. 1185</t>
  </si>
  <si>
    <t>Law enforcement tribute grants</t>
  </si>
  <si>
    <t>Sec. 1184</t>
  </si>
  <si>
    <t>Grants to SEARCH, the National Consortium for Justice Information and Statistics</t>
  </si>
  <si>
    <t>Sec. 1188</t>
  </si>
  <si>
    <t>Gang Resistance Education and Training Projects program</t>
  </si>
  <si>
    <t>Use of the National Training Center</t>
  </si>
  <si>
    <t>Sec. 1196(a)</t>
  </si>
  <si>
    <t>State Criminal Alien Assistance Program</t>
  </si>
  <si>
    <t>Sec. 1199</t>
  </si>
  <si>
    <t>Youth Violence Reduction Demonstration Projects</t>
  </si>
  <si>
    <t>Sec. 1104(1)</t>
  </si>
  <si>
    <t>General administration</t>
  </si>
  <si>
    <t>Sec. 1104(2)</t>
  </si>
  <si>
    <t>For the Department of Justice to conduct administrative review and appeals including the Executive Office for Immigration Review</t>
  </si>
  <si>
    <t>Sec. 1104(3)</t>
  </si>
  <si>
    <t>Office of the Inspector General</t>
  </si>
  <si>
    <t>Sec. 1104(4)</t>
  </si>
  <si>
    <t>General legal activities</t>
  </si>
  <si>
    <t>Sec. 1104(5)</t>
  </si>
  <si>
    <t>Antitrust Division</t>
  </si>
  <si>
    <t>Sec. 1104(6)</t>
  </si>
  <si>
    <t>United States attorneys</t>
  </si>
  <si>
    <t>Sec. 1104(7)</t>
  </si>
  <si>
    <t>Federal Bureau of Investigation</t>
  </si>
  <si>
    <t>Sec. 1104(8)</t>
  </si>
  <si>
    <t>U.S. Marshals Service</t>
  </si>
  <si>
    <t>Sec. 1104(9)</t>
  </si>
  <si>
    <t>Federal prison system</t>
  </si>
  <si>
    <t>Sec. 1104(10)</t>
  </si>
  <si>
    <t>Drug Enforcement Administration</t>
  </si>
  <si>
    <t>Sec. 1104(11)</t>
  </si>
  <si>
    <t>Bureau of Alcohol, Tobacco, Firearms and Explosives</t>
  </si>
  <si>
    <t>Sec. 1104(12)</t>
  </si>
  <si>
    <t>Fees and expenses of witnesses</t>
  </si>
  <si>
    <t>Sec. 1104(13)</t>
  </si>
  <si>
    <t>Interagency crime and drug enforcement</t>
  </si>
  <si>
    <t>Sec. 1104(14)</t>
  </si>
  <si>
    <t>Foreign Claims Settlement Commission</t>
  </si>
  <si>
    <t>Sec. 1104(16)</t>
  </si>
  <si>
    <t>Administration for Assets Forfeiture Fund</t>
  </si>
  <si>
    <t>Sec. 1104(17)</t>
  </si>
  <si>
    <t>U.S. Parole Commission</t>
  </si>
  <si>
    <t>Sec. 1104(18)</t>
  </si>
  <si>
    <t>Federal Detention Trustee</t>
  </si>
  <si>
    <t>Sec. 1104(19)</t>
  </si>
  <si>
    <t>Justice information sharing technology</t>
  </si>
  <si>
    <t>Sec. 1104(20)</t>
  </si>
  <si>
    <t>Narrowband communications</t>
  </si>
  <si>
    <t>Sec. 1104(21)(A)</t>
  </si>
  <si>
    <t>Administrative expenses for Office of Justice Programs</t>
  </si>
  <si>
    <t>Sec. 1104(21)(B)</t>
  </si>
  <si>
    <t>Office of Violence Against Women</t>
  </si>
  <si>
    <t>Sec. 1104(21)(C)</t>
  </si>
  <si>
    <t>Office of Community Oriented Policing Services</t>
  </si>
  <si>
    <t>Torture Victims Relief Reauthorization Act of 2005</t>
  </si>
  <si>
    <t>Domestic treatment centers for victims of torture</t>
  </si>
  <si>
    <t>Foreign treatment centers for victims of torture</t>
  </si>
  <si>
    <t>Contribution to the United Nations Voluntary Fund for Victims of Torture</t>
  </si>
  <si>
    <t>Junior Duck Stamp Reauthorization Amendments Act of 2005</t>
  </si>
  <si>
    <t>Conservation stamp design programs through the Department of the Interior</t>
  </si>
  <si>
    <t>An act to make certain technical corrections in amendments made by the Energy Policy Act of 2005</t>
  </si>
  <si>
    <t>Sec. 1(a)(3)</t>
  </si>
  <si>
    <t>Authorizes appropriations for the regulation of underground storage tanks</t>
  </si>
  <si>
    <t>USA Patriot Improvement and Reauthorization Act of 2005</t>
  </si>
  <si>
    <t>Sec. 722</t>
  </si>
  <si>
    <t>Identification and analysis by the State Department of the countries exporting and importing the largest amounts of chemicals for methamphetamine production</t>
  </si>
  <si>
    <t>Sec. 723</t>
  </si>
  <si>
    <t>Prevention of smuggling methamphetamine from Mexico</t>
  </si>
  <si>
    <t>Sec. 754</t>
  </si>
  <si>
    <t>Grants to stop the manufacture, sale, and use of methamphetamine in hot spots</t>
  </si>
  <si>
    <t>Coastal Barrier Resources Reauthorization Act of 2005</t>
  </si>
  <si>
    <t>Sec. 4(d)</t>
  </si>
  <si>
    <t>To carry out a project to create digital versions of all of the John H. Chafee Coastal Barrier Resources System maps not included in the pilot program</t>
  </si>
  <si>
    <t>Activities relating to the John H. Chafee Coastal Barrier Resources System</t>
  </si>
  <si>
    <t>Adam Walsh Child Protection and Safety Act of 2006</t>
  </si>
  <si>
    <t>Sec. 126(d)</t>
  </si>
  <si>
    <t>Sex Offender Management Assistance (SOMA) program</t>
  </si>
  <si>
    <t>Sec. 143</t>
  </si>
  <si>
    <t>Project Safe Childhood: preventing, investigating, and prosecuting crimes of child exploitation</t>
  </si>
  <si>
    <t>Civil commitment of sex offenders</t>
  </si>
  <si>
    <t>Sec. 605</t>
  </si>
  <si>
    <t>Mentoring Matches for Youth Act</t>
  </si>
  <si>
    <t>Sec. 616</t>
  </si>
  <si>
    <t>National Police Athletic League Youth Enrichment Act</t>
  </si>
  <si>
    <t>Sec. 621</t>
  </si>
  <si>
    <t>Pilot program for monitoring sex offenders</t>
  </si>
  <si>
    <t>Sec. 623</t>
  </si>
  <si>
    <t>Sex offender apprehension grants; juvenile sex offender treatment grants</t>
  </si>
  <si>
    <t>Sec. 624</t>
  </si>
  <si>
    <t>Assistance to prosecute DNA backlog cases</t>
  </si>
  <si>
    <t>Sec. 625</t>
  </si>
  <si>
    <t>Grants to combat sex abuse of children</t>
  </si>
  <si>
    <t>Sec. 626</t>
  </si>
  <si>
    <t>Crime prevention campaign grant</t>
  </si>
  <si>
    <t>Sec. 627</t>
  </si>
  <si>
    <t>For grant programs for fingerprinting children</t>
  </si>
  <si>
    <t>Sec. 629</t>
  </si>
  <si>
    <t>Awareness campaign for children's safety</t>
  </si>
  <si>
    <t>Sec. 632</t>
  </si>
  <si>
    <t>For the United States Marshals Service's Fugitive Safe Surrender program</t>
  </si>
  <si>
    <t>Sec. 631</t>
  </si>
  <si>
    <t>Jessica Lunsford Address Verification Grant Program</t>
  </si>
  <si>
    <t>Sec. 142</t>
  </si>
  <si>
    <t>Assist jurisdictions in locating and apprehending violators of sex offender registration requirements</t>
  </si>
  <si>
    <t>Iran Freedom Support Act</t>
  </si>
  <si>
    <t>To provide financial and political assistance (including grants) to foreign and domestic individuals, organizations, and entities working to support and promote democracy in Iran, including prodemocracy radio and television broadcast organizations</t>
  </si>
  <si>
    <t>Partners for Fish and Wildlife Act</t>
  </si>
  <si>
    <t>Partners for Fish and Wildlife program</t>
  </si>
  <si>
    <t>Department of Homeland Security Appropriations Act, 2007</t>
  </si>
  <si>
    <t>Sec. 634</t>
  </si>
  <si>
    <t>For the Urban Search and Rescue Response System</t>
  </si>
  <si>
    <t>Sec. 635</t>
  </si>
  <si>
    <t>For the Metropolitan Medical Response System</t>
  </si>
  <si>
    <t>Sec. 699</t>
  </si>
  <si>
    <t>For the administration and operations of the Federal Emergency Management Agency</t>
  </si>
  <si>
    <t>An act to reduce temporarily the royalty required to be paid for sodium produced, to establish certain National Heritage Areas, and for other purposes</t>
  </si>
  <si>
    <t>John H. Chafee Blackstone River Valley National Heritage Corridor Commission development funds; not more than $10,000,000 to be appropriated for the years 2006 to 2016</t>
  </si>
  <si>
    <t>Security and Accountability for Every Port Act of 2006</t>
  </si>
  <si>
    <t>Sec. 203</t>
  </si>
  <si>
    <t>United States Customs and Border Protection: to carry out the Automated Targeting System for identifying high-risk ocean borne container cargo for inspection</t>
  </si>
  <si>
    <t>Sec. 205</t>
  </si>
  <si>
    <t>Establish and implement a program within United States Customs and Border Protection to identify and examine or search maritime containers that pose a security risk before loading such containers in a foreign port for shipment to the United States</t>
  </si>
  <si>
    <t>Sec. 223</t>
  </si>
  <si>
    <t>Establish sufficient internal quality controls and record management to support the management systems of Customs-Trade Partnership Against Terrorism</t>
  </si>
  <si>
    <t>For full-time Customs and Border Protection personnel engaged in the validation and revalidation of Customs-Trade Partnership Against Terrorism participants</t>
  </si>
  <si>
    <t>Sec. 403</t>
  </si>
  <si>
    <t>For up to 1,000 additional Customs and Border Protection officers to carry out the commercial operations of Customs and Border Patrol</t>
  </si>
  <si>
    <t>An act to direct the Secretary of the Interior to convey the Tylersville division of the Lamar National Fish Hatchery and Fish Technology Center to the State of Pennsylvania, and for other purposes</t>
  </si>
  <si>
    <t>Department of Commerce National Fish and Wildlife Foundation activities</t>
  </si>
  <si>
    <t>Henry J. Hyde U.S.-India Peaceful Atomic Energy Cooperation Act of 2006</t>
  </si>
  <si>
    <t>Sec. 109</t>
  </si>
  <si>
    <t>U.S.-India nuclear nonproliferation program, including scientific research and development efforts</t>
  </si>
  <si>
    <t>Palestinian Anti-Terrorism Act of 2006</t>
  </si>
  <si>
    <t>Israeli-Palestinian Peace, Reconciliation and Democracy Fund</t>
  </si>
  <si>
    <t>United States-Mexico Transboundary Aquifer Assessment Act</t>
  </si>
  <si>
    <t>To establish a United States–Mexico transboundary aquifer assessment program to systematically assess priority transboundary aquifers through United States Geological Survey; $50 million for the years 2007 to 2016</t>
  </si>
  <si>
    <t>Rural Water Supply Act of 2006</t>
  </si>
  <si>
    <t>Rural water supply programs and projects in reclamation states</t>
  </si>
  <si>
    <t>Veterans Benefits, Health Care, and Information Technology Act of 2006</t>
  </si>
  <si>
    <t>Blind rehabilitation outpatient specialists</t>
  </si>
  <si>
    <t>Readjustment counseling and related mental health services through centers</t>
  </si>
  <si>
    <t>Pipeline Inspection, Protection, Enforcement, and Safety Act of 2006</t>
  </si>
  <si>
    <t>A grant to an appropriate entity for promoting public education and awareness with respect to the 811 national excavation damage prevention phone number</t>
  </si>
  <si>
    <t>Grants to universities for a collaborative program to conduct pipeline safety and technical assistance programs</t>
  </si>
  <si>
    <t>Office of National Drug Control Policy Reauthorization Act of 2006</t>
  </si>
  <si>
    <t>Sec. 1119</t>
  </si>
  <si>
    <t>Awards for drug demonstration programs by local partnerships</t>
  </si>
  <si>
    <t>Magnuson-Stevens Fishery Conservation and Management Reauthorization Act of 2006</t>
  </si>
  <si>
    <t>For fishery conservation and management</t>
  </si>
  <si>
    <t>Fisheries hurricane assistance program</t>
  </si>
  <si>
    <t>Herring study</t>
  </si>
  <si>
    <t>Restoration study</t>
  </si>
  <si>
    <t>Yukon River Salmon Act</t>
  </si>
  <si>
    <t>Shark Finning Prohibition Act</t>
  </si>
  <si>
    <t>Pacific Salmon Treaty Act</t>
  </si>
  <si>
    <t>To the Secretary of Commerce for Atlantic striped bass conservation</t>
  </si>
  <si>
    <t>Atlantic striped bass conservation for the Secretary of the Interior</t>
  </si>
  <si>
    <t>Interjurisdictional Fisheries Act Grants</t>
  </si>
  <si>
    <t>Anadromous Fish Conservation Act</t>
  </si>
  <si>
    <t>Sec. 405</t>
  </si>
  <si>
    <t>Atlantic Tunas Convention Act</t>
  </si>
  <si>
    <t>Sec. 703</t>
  </si>
  <si>
    <t>Puget Sound regional shellfish</t>
  </si>
  <si>
    <t>Sec. 901</t>
  </si>
  <si>
    <t>Polar bear conservation</t>
  </si>
  <si>
    <t>Sec. 112(a)</t>
  </si>
  <si>
    <t>Fisheries disaster relief</t>
  </si>
  <si>
    <t>Continuing Appropriations Resolution, 2007</t>
  </si>
  <si>
    <t>Sec. 21069</t>
  </si>
  <si>
    <t>Office of Government Ethics</t>
  </si>
  <si>
    <t>National Breast and Cervical Cancer Early Detection Program Reauthorization Act of 2007</t>
  </si>
  <si>
    <t>Centers for Disease Control and Prevention programs: preventive health programs for breast and cervical cancers, including WISEwoman; supplemental grants for additional preventive health services; research and development in health promotion</t>
  </si>
  <si>
    <t>Trauma Care Systems Planning and Development Act of 2007</t>
  </si>
  <si>
    <t>Sec. 13</t>
  </si>
  <si>
    <t>Grants to public and nonprofit private entities for planning and developing approved residency training programs in emergency care, but only if the recipient will provide education and training in identifying and referring cases of domestic violence</t>
  </si>
  <si>
    <t>Native American Home Ownership Opportunity Act of 2007</t>
  </si>
  <si>
    <t>Loan guarantees for Native American housing</t>
  </si>
  <si>
    <t>Implementing Recommendations of the 9/11 Commission Act of 2007</t>
  </si>
  <si>
    <t>Sec. 504</t>
  </si>
  <si>
    <t>Information Sharing Environment: the program manager is authorized to hire no more than 40 full-time employees to assist the program manager in activities associated with the implementation of the information sharing environment</t>
  </si>
  <si>
    <t>Sec. 511</t>
  </si>
  <si>
    <t>To establish guidelines for fusion centers created and operated by state and local governments and for hiring officers and intelligence analysts to replace those who are assigned to fusion centers</t>
  </si>
  <si>
    <t>Sec. 513</t>
  </si>
  <si>
    <t>To establish a Rural Policing Institute, which shall be administered by the Federal Law Enforcement Training Center, to target training to law enforcement agencies and other emergency response providers located in rural areas</t>
  </si>
  <si>
    <t>Sec. 721(d)</t>
  </si>
  <si>
    <t>To establish a Human Smuggling and Trafficking Center</t>
  </si>
  <si>
    <t>Sec. 1204(d)(1)</t>
  </si>
  <si>
    <t>For the Center for Domestic Preparedness, within the National Domestic Preparedness Consortium, to train state, local, and tribal emergency response providers, provide on-site and mobile training, and facilitate the delivery of training</t>
  </si>
  <si>
    <t>Sec. 1204(d)(2)</t>
  </si>
  <si>
    <t>For the National Domestic Preparedness Consortium (other than the Center for Domestic Preparedness), including the National Energetic Materials Research and Testing Center; the National Center for Biomedical Research and Training; the National Emergency Response and Rescue Training Center; the National Exercise, Test, and Training Center; the Transportation Technology Center, Incorporated; and the National Disaster Preparedness Training Center</t>
  </si>
  <si>
    <t>Sec. 1304</t>
  </si>
  <si>
    <t>Train, employ, and utilize surface transportation security inspectors to assist surface transportation carriers, operators, owners, entities, and facilities to enhance security against terrorist attacks and other security threats and to assist in the enforcement of applicable surface transportation security regulations and directives</t>
  </si>
  <si>
    <t>Sec. 1409</t>
  </si>
  <si>
    <t>To carry out a research and development program through the Homeland Security Advanced Research Projects Agency in the Science and Technology Directorate and in consultation with the Transportation Security Administration and with the Federal Transit Administration to improve the security of public transportation</t>
  </si>
  <si>
    <t>Sec. 1515</t>
  </si>
  <si>
    <t>Grants to Amtrak for fire and life safety improvements in Amtrak tunnels on the Northeast Corridor through fiscal year 2011</t>
  </si>
  <si>
    <t>Sec. 1603(a)</t>
  </si>
  <si>
    <t>For airport security improvement projects including baggage screening technology and explosive-detection systems</t>
  </si>
  <si>
    <t>America COMPETES Act</t>
  </si>
  <si>
    <t>Sec. 5005</t>
  </si>
  <si>
    <t>Hydrocarbon systems science competitiveness grants for institutions of higher education</t>
  </si>
  <si>
    <t>Sec. 5008</t>
  </si>
  <si>
    <t>Discovery science and engineering innovation institutes</t>
  </si>
  <si>
    <t>United States-Poland Parliamentary Youth Exchange Program Act of 2007</t>
  </si>
  <si>
    <t>Youth exchange program with Poland</t>
  </si>
  <si>
    <t>An act to extend the District of Columbia College Access Act of 1999</t>
  </si>
  <si>
    <t>District of Columbia public and private school tuition assistance programs</t>
  </si>
  <si>
    <t>Water Resources Development Act of 2007</t>
  </si>
  <si>
    <t>Missouri River restoration in South Dakota</t>
  </si>
  <si>
    <t>Missouri and middle Mississippi Rivers enhancement project</t>
  </si>
  <si>
    <t>Great Lakes remedial action plans and sediment remediation</t>
  </si>
  <si>
    <t>Great Lakes tributary models</t>
  </si>
  <si>
    <t>Illinois river basin restoration</t>
  </si>
  <si>
    <t>Multinational Species Conservation Funds Reauthorization Act of 2007</t>
  </si>
  <si>
    <t>Financial assistance for African elephant conservation projects that protect elephant populations and their habitats</t>
  </si>
  <si>
    <t>Financial assistance for rhinoceros and tiger conservation projects</t>
  </si>
  <si>
    <t>Asian Elephant Conservation Reauthorization Act of 2007</t>
  </si>
  <si>
    <t>Financial assistance for Asian elephant conservation projects that protect elephant populations and their habitats</t>
  </si>
  <si>
    <t>Improving Head Start for School Readiness Act of 2007</t>
  </si>
  <si>
    <t>Head Start</t>
  </si>
  <si>
    <t>Sec. 26(f)</t>
  </si>
  <si>
    <t>Designation of and grants for exemplary Head Start agencies and related activities, research, and reports</t>
  </si>
  <si>
    <t>Energy Independence and Security Act of 2007</t>
  </si>
  <si>
    <t>Sec. 131(b)</t>
  </si>
  <si>
    <t>Plug-in electric drive vehicle program</t>
  </si>
  <si>
    <t>Near-term Transportation Sector Electrification Program; grants for the conduct of qualified electric transportation projects</t>
  </si>
  <si>
    <t>Credits for alternative fuel and electric vehicles; to carry out 42 U.S.C. 13258</t>
  </si>
  <si>
    <t>Ethanol pipeline feasibility study</t>
  </si>
  <si>
    <t>Renewable fuel infrastructure grants</t>
  </si>
  <si>
    <t>Sec. 321(c)</t>
  </si>
  <si>
    <t>Market assessments and consumer awareness programs for general service lamps and compact fluorescent lamps</t>
  </si>
  <si>
    <t>Sec. 321(g)</t>
  </si>
  <si>
    <t>Lighting technology research and development program for general service lamps</t>
  </si>
  <si>
    <t>Zero net energy commercial buildings initiative</t>
  </si>
  <si>
    <t>Sec. 440</t>
  </si>
  <si>
    <t>Management of federal building efficiency; prohibition on leasing of buildings without an energy star label, high-performance green federal buildings, federal green building performance reporting, storm water runoff requirements for federal development projects, and a cost-effective technology acceleration program (authorizes appropriations for secs. 434-439)</t>
  </si>
  <si>
    <t>Sec. 451</t>
  </si>
  <si>
    <t>To determine the feasibility of recoverable waste energy projects or combined heat and power system projects; Environmental Protection Agency assistance to site or source owners and operators</t>
  </si>
  <si>
    <t>Incentive grants to projects and utilities for waste energy recovery</t>
  </si>
  <si>
    <t>Grants to states for recovering or preventing waste energy</t>
  </si>
  <si>
    <t>Clean energy application centers</t>
  </si>
  <si>
    <t>Sec. 505</t>
  </si>
  <si>
    <t>Environmental Protection Agency: healthy high-performance schools</t>
  </si>
  <si>
    <t>Sec. 462</t>
  </si>
  <si>
    <t>Study by the Environmental Protection Agency on indoor environmental quality in schools</t>
  </si>
  <si>
    <t>Sec. 471</t>
  </si>
  <si>
    <t>Grants to institutions for technical assistance on energy sustainability, energy efficiency improvement and sustainability, and innovation in energy sustainability</t>
  </si>
  <si>
    <t>Loans to institutions for energy efficiency improvement and energy sustainability</t>
  </si>
  <si>
    <t>Sec. 491</t>
  </si>
  <si>
    <t>Demonstration project for green features in a federal building</t>
  </si>
  <si>
    <t>Demonstration projects of high-performance green building initiatives at universities</t>
  </si>
  <si>
    <t>Sec. 493</t>
  </si>
  <si>
    <t>Grants funded by the Environmental Protection Agency for cost-effective technologies and practices</t>
  </si>
  <si>
    <t>Training federal contracting officers to negotiate energy efficiency contracts</t>
  </si>
  <si>
    <t>Sec. 529</t>
  </si>
  <si>
    <t>Federal Energy Regulatory Commission assessment of peak demand response</t>
  </si>
  <si>
    <t>Sec. 531</t>
  </si>
  <si>
    <t>State energy conservation plans</t>
  </si>
  <si>
    <t>Sec. 548</t>
  </si>
  <si>
    <t>Administrative expenses for energy efficiency and conservation block grants</t>
  </si>
  <si>
    <t>Thermal energy storage research and development</t>
  </si>
  <si>
    <t>Solar energy curriculum development and certification grants</t>
  </si>
  <si>
    <t>Daylighting systems and direct solar light pipe technology</t>
  </si>
  <si>
    <t>Solar air conditioning research and development</t>
  </si>
  <si>
    <t>Photovoltaic demonstration program</t>
  </si>
  <si>
    <t>Sec. 641(p)(1)</t>
  </si>
  <si>
    <t>Basic research on energy storage systems</t>
  </si>
  <si>
    <t>Sec. 641(p)(2)</t>
  </si>
  <si>
    <t>Applied research on energy storage systems</t>
  </si>
  <si>
    <t>Sec. 641(p)(3)</t>
  </si>
  <si>
    <t>Energy storage research centers</t>
  </si>
  <si>
    <t>Sec. 641(p)(4)</t>
  </si>
  <si>
    <t>Energy storage system demonstrations</t>
  </si>
  <si>
    <t>Sec. 641(p)(5)</t>
  </si>
  <si>
    <t>Vehicle energy storage demonstrations</t>
  </si>
  <si>
    <t>Lightweight materials research and development to reduce the weight of motor vehicles</t>
  </si>
  <si>
    <t>Commercial insulation demonstration program</t>
  </si>
  <si>
    <t>H-Prize (competitive cash awards to advance the research, development, demonstration, and commercial application of hydrogen energy technologies)</t>
  </si>
  <si>
    <t>Sec. 654</t>
  </si>
  <si>
    <t>H-Prize administrative costs</t>
  </si>
  <si>
    <t>Renewable energy innovation manufacturing partnership</t>
  </si>
  <si>
    <t>Demonstrations of technologies for the large-scale capture of carbon dioxide from industrial sources</t>
  </si>
  <si>
    <t>Assessment of carbon sequestration and methane and nitrous oxide emissions from ecosystems</t>
  </si>
  <si>
    <t>National media campaign to increase energy efficiency and decrease oil consumption</t>
  </si>
  <si>
    <t>Assistance through the United States Agency for International Development for developing countries to promote clean and efficient energy technologies</t>
  </si>
  <si>
    <t>Funding for the Secretary of Commerce to promote exports of clean and efficient energy technologies and to make government officials in other countries more familiar with available technologies</t>
  </si>
  <si>
    <t>Sec. 913</t>
  </si>
  <si>
    <t>United States trade missions to encourage private-sector trade and investment in clean and efficient energy technologies</t>
  </si>
  <si>
    <t>Sec. 916</t>
  </si>
  <si>
    <t>Interagency task force and working groups to be established by the President to deploy clean and efficient energy technologies internationally</t>
  </si>
  <si>
    <t>International Clean Energy Foundation</t>
  </si>
  <si>
    <t>Office of Climate Change and Environment within the Department of Transportation</t>
  </si>
  <si>
    <t>Advanced technology locomotive grant pilot program</t>
  </si>
  <si>
    <t>Capital grants for class II and class III railroads</t>
  </si>
  <si>
    <t>Smart grid advisory committee and smart grid task force</t>
  </si>
  <si>
    <t>Power grid digital information technology</t>
  </si>
  <si>
    <t>Smart grid regional demonstration initiative</t>
  </si>
  <si>
    <t>Smart grid interoperability framework</t>
  </si>
  <si>
    <t>Federal matching fund for smart grid investment costs</t>
  </si>
  <si>
    <t>To maintain a registry of recoverable waste energy sources and the sites on which the sources are located</t>
  </si>
  <si>
    <t>Consolidated Appropriations Act, 2008</t>
  </si>
  <si>
    <t>Div. B, sec. 111</t>
  </si>
  <si>
    <t>National Marine Fisheries Service for impact on fisheries in the Papahanaumokuakea Marine National Monument</t>
  </si>
  <si>
    <t>Sec. 563</t>
  </si>
  <si>
    <t>Secure handling of ammonium nitrate</t>
  </si>
  <si>
    <t>Court Security Improvement Act of 2007</t>
  </si>
  <si>
    <t>United States Marshals Service for judicial security: hiring deputy marshals for security, investigating threats to the judiciary, hiring program analysts, and providing secure computer systems</t>
  </si>
  <si>
    <t>Grants to states to protect witnesses and victims of crimes</t>
  </si>
  <si>
    <t>Grants to states for threat assessment databases</t>
  </si>
  <si>
    <t>Sec. 507</t>
  </si>
  <si>
    <t>Fugitive apprehension task forces</t>
  </si>
  <si>
    <t>NICS Improvement Amendments Act of 2007</t>
  </si>
  <si>
    <t>For the Bureau of Justice Statistics to study, evaluate, and report on the operations of the NICS</t>
  </si>
  <si>
    <t>Grants to states for integration, automation, and accessibility of criminal history records</t>
  </si>
  <si>
    <t>Military Reservist and Veteran Small Business Reauthorization and Opportunity Act of 2008</t>
  </si>
  <si>
    <t>Office of Veterans Business Development of the Small Business Administration</t>
  </si>
  <si>
    <t>House Committee on Small Business</t>
  </si>
  <si>
    <t>Senate Committee on Small Business and Entrepreneurship</t>
  </si>
  <si>
    <t>Consolidated Natural Resources Act of 2008</t>
  </si>
  <si>
    <t>Nonreimbursable grants to New Mexico for comprehensive water planning and technical assistance</t>
  </si>
  <si>
    <t>Deschutes River Conservancy Working Group</t>
  </si>
  <si>
    <t>Sec. 602</t>
  </si>
  <si>
    <t>Scientific research and development to develop competitive manufacturing technologies and increase energy efficiency in the steel and aluminum industries</t>
  </si>
  <si>
    <t>Food, Conservation, and Energy Act of 2008</t>
  </si>
  <si>
    <t>Sec. 13104</t>
  </si>
  <si>
    <t>Commodity Futures Trading Commission: within the jurisdiction of the Agriculture, Rural Development, FDA, and Related Agencies subcommittee within the House Committee on Appropriations, and within the jurisdiction of the Financial Services and General Government subcommittee within the Senate Committee on Appropriations</t>
  </si>
  <si>
    <t>House Committee on Agriculture</t>
  </si>
  <si>
    <t>Tom Lantos Block Burmese JADE (Junta's Anti-Democratic Efforts) Act of 2008</t>
  </si>
  <si>
    <t>Provide aid to democracy activists in Burma; provide aid to individuals and groups conducting democracy programming outside of Burma targeted at a peaceful transition to constitutional democracy inside Burma; expand radio and television broadcasting into Burma</t>
  </si>
  <si>
    <t>To support operations of nongovernmental organizations designed to address the humanitarian needs of the Burmese people inside Burma and in refugee camps in neighboring countries</t>
  </si>
  <si>
    <t>Housing and Economic Recovery Act of 2008</t>
  </si>
  <si>
    <t>Sec. 2126</t>
  </si>
  <si>
    <t>Authorizes the appropriation of funds from negative credit subsidies of existing Federal Housing Administration mortgage insurance programs for increasing funding to improve technology, processes, and program performance; eliminate fraud; and provide additional staffing</t>
  </si>
  <si>
    <t>Sec. 2835(d)</t>
  </si>
  <si>
    <t>Funding for establishing standards of collecting information on tenants in tax credit projects and for compiling and making the data publicly available</t>
  </si>
  <si>
    <t>Regulatory Improvement Act of 2007</t>
  </si>
  <si>
    <t>Salaries and expenses of the Administrative Conference of the United States</t>
  </si>
  <si>
    <t>Tom Lantos and Henry J. Hyde United States Global Leadership Against HIV/AIDS, Tuberculosis, and Malaria Reauthorization Act of 2008</t>
  </si>
  <si>
    <t>Tuberculosis vaccine development programs</t>
  </si>
  <si>
    <t>Sec. 103(c)(1)</t>
  </si>
  <si>
    <t>United States contribution to the Global Fund</t>
  </si>
  <si>
    <t>Microbicide research authorized for the Centers for Disease Control and Prevention to support research and development of microbicides used to prevent the transmission of the human immunodeficiency virus</t>
  </si>
  <si>
    <t>United States leadership against HIV/AIDS, tuberculosis, and malaria, specifically, an authorization of appropriations for the Executive Office of the President</t>
  </si>
  <si>
    <t>Assistance to combat HIV/AIDS in sub-Saharan Africa, the Caribbean, and other developing regions</t>
  </si>
  <si>
    <t>Assistance to combat HIV/AIDS; assistance for the procurement and distribution of HIV/AIDS pharmaceuticals</t>
  </si>
  <si>
    <t>Sec. 301(g)(2)</t>
  </si>
  <si>
    <t>Assistance to combat HIV/AIDS; assistance to provide food and nutritional support to individuals, children, and communities infected with and affected by HIV/AIDS</t>
  </si>
  <si>
    <t>Sec. 302(f)</t>
  </si>
  <si>
    <t>Assistance to combat tuberculosis; $4 billion for the five year period beginning on October 1, 2008</t>
  </si>
  <si>
    <t>Assistance to combat malaria; $5 billion during the five year period beginning October 1, 2008</t>
  </si>
  <si>
    <t>Sec. 203(e)</t>
  </si>
  <si>
    <t>United States Agency for International Development facilitation of availability and accessibility of microbicides</t>
  </si>
  <si>
    <t>An act to reauthorize the Edward Byrne Memorial Justice Assistance Grant Program</t>
  </si>
  <si>
    <t>Edward Byrne Grant Program</t>
  </si>
  <si>
    <t>Soboba Band of Luiseno Indians Settlement Act</t>
  </si>
  <si>
    <t>San Jacinto Basin Restoration Fund: funds to pay or reimburse the costs associated with constructing, operating, and maintaining the federal portion of the basin recharge project</t>
  </si>
  <si>
    <t>Soboba Band of Luiseno Indians Water Development Fund: funds to pay or reimburse costs associated with constructing, operating, and maintaining water and sewage infrastructure and other water-related development projects</t>
  </si>
  <si>
    <t>Consumer Product Safety Improvement Act of 2008</t>
  </si>
  <si>
    <t>Sec. 201(a)</t>
  </si>
  <si>
    <t>Consumer Product Safety Commission</t>
  </si>
  <si>
    <t>Higher Education Opportunity Act</t>
  </si>
  <si>
    <t>Promoting post baccalaureate opportunities for Hispanic Americans through grants to eligible institutions</t>
  </si>
  <si>
    <t>Grants to Hispanic-serving institutions of higher education to assist with planning, developing, and carrying out programs to improve and expand the institutions' capacity to serve Hispanic students and low-income students</t>
  </si>
  <si>
    <t>Sec. 609</t>
  </si>
  <si>
    <t>International and foreign language studies programs</t>
  </si>
  <si>
    <t>Sec. 611</t>
  </si>
  <si>
    <t>Business and international education programs</t>
  </si>
  <si>
    <t>Graduate assistance in the areas of national needs: student stipends and institutional payments to support students studying in an area of designated national need</t>
  </si>
  <si>
    <t>Master's degree programs at historically black colleges and universities and predominantly black institutions: grants to eligible institutions that are making a substantial contribution to graduate education opportunities</t>
  </si>
  <si>
    <t>Sec. 707</t>
  </si>
  <si>
    <t>Fund for the Improvement of Postsecondary Education</t>
  </si>
  <si>
    <t>Sec. 766</t>
  </si>
  <si>
    <t>Programs for students with intellectual disabilities to transition into higher education: grants to enable institutions to create or expand high-quality inclusive-model comprehensive transition and postsecondary programs for students with intellectual disabilities</t>
  </si>
  <si>
    <t>Sec. 806</t>
  </si>
  <si>
    <t>Teach for America: grant to Teach for America, Inc., to reach underserved communities in the United States with teachers and to expand its program of recruiting, selecting, training, and supporting new teachers</t>
  </si>
  <si>
    <t>Sec. 873</t>
  </si>
  <si>
    <t>Centers of excellence for veteran student success: grants to develop and encourage model programs to support veteran student success in postsecondary education by coordinating services that address the academic, financial, physical, and social needs of students who are veterans</t>
  </si>
  <si>
    <t>Sec. 904</t>
  </si>
  <si>
    <t>Cultural experiences grants: grants to and contracts and cooperative agreements with eligible entities to support cultural experiences for deaf and hard of hearing children and adults</t>
  </si>
  <si>
    <t>Sec. 914</t>
  </si>
  <si>
    <t>Education of the deaf: funds for Gallaudet University, Kendall Demonstration Elementary School, and the Model Secondary School for the Deaf</t>
  </si>
  <si>
    <t>Education of the deaf: National Technical Institute for the Deaf</t>
  </si>
  <si>
    <t>United States Institute of Peace</t>
  </si>
  <si>
    <t>Sec. 941(g)</t>
  </si>
  <si>
    <t>Tribally Controlled College or University Assistance Act: grants to eligible institutions</t>
  </si>
  <si>
    <t>Tribally Controlled College or University Assistance Act: technical assistance contracts</t>
  </si>
  <si>
    <t>Tribally Controlled College or University Assistance Act: grants for construction of new facilities</t>
  </si>
  <si>
    <t>Sec. 941(h)</t>
  </si>
  <si>
    <t>Tribally Controlled College or University Assistance Act: endowment program reauthorization</t>
  </si>
  <si>
    <t>Sec. 941(i)</t>
  </si>
  <si>
    <t>Tribally Controlled College or University Assistance Act: tribal economic development reauthorization</t>
  </si>
  <si>
    <t>Navajo Nation Higher Education Act of 2008: grants to Diné College for maintenance, operations, and new construction</t>
  </si>
  <si>
    <t>Sec. 952</t>
  </si>
  <si>
    <t>Prosecutors and Public Defenders Incentive Act: for the Attorney General to establish a program by which the Department of Justice would assume the obligation to repay student loans</t>
  </si>
  <si>
    <t>Sec. 971</t>
  </si>
  <si>
    <t>Minority Serving Institution Digital and Wireless Technology Opportunity Program</t>
  </si>
  <si>
    <t>Higher education drug and alcohol prevention: grants to institutions of higher education or consortia of such; enter into contracts with such institutions, consortia, and other organizations to develop, implement, operate, improve, and disseminate programs of prevention; education (including treatment referral) to reduce and eliminate the illegal use of drugs and alcohol and the violence associated with such use</t>
  </si>
  <si>
    <t>Sec. 201(2)</t>
  </si>
  <si>
    <t>Teacher quality enhancement grant: grants to eligible partnerships for pre-baccalaureate preparation, teaching residency, or leadership development programs</t>
  </si>
  <si>
    <t>Sec. 319(a)</t>
  </si>
  <si>
    <t>Strengthening higher education institutions: a program to improve the academic quality, institutional management, and fiscal stability of eligible institutions to increase their self-sufficiency and strengthen their capacity to make a substantial contribution to higher education resources</t>
  </si>
  <si>
    <t>American tribally controlled colleges and universities: grants and related assistance to Indian Tribal Colleges and Universities to enable such institutions to improve and expand their capacity to serve Indian students</t>
  </si>
  <si>
    <t>Sec. 304</t>
  </si>
  <si>
    <t>Alaska native and native Hawaiian-serving institutions: grants and related assistance to enable such institutions to improve and expand their capacity to serve those groups</t>
  </si>
  <si>
    <t>Sec. 305</t>
  </si>
  <si>
    <t>Predominantly black institutions: assist predominantly black institutions in expanding educational opportunity through federal assistance</t>
  </si>
  <si>
    <t>Native American–serving, nontribal institutions: grants and related assistance to Native American–serving, nontribal institutions to improve and expand their capacity to serve Native Americans and low-income individuals</t>
  </si>
  <si>
    <t>Asian American and Native American Pacific Islanders-serving institutions: grants and related assistance to enable such institutions to improve and expand their capacity to serve those groups</t>
  </si>
  <si>
    <t>Sec. 319(a)(2A)</t>
  </si>
  <si>
    <t>Strengthening Historically Black Colleges and Universities: financial assistance to establish or strengthen the physical plants, financial management, academic resources, and endowments of historically black colleges and universities</t>
  </si>
  <si>
    <t>Sec. 319(a)(2B)</t>
  </si>
  <si>
    <t>Professional or graduate institutions: program grants to postgraduate institutions that create substantial opportunities for black Americans to pursue graduate education in legal, medical, dental, veterinary, and other fields within mathematics, engineering, and the physical and natural sciences</t>
  </si>
  <si>
    <t>Sec. 319(a)(4A)</t>
  </si>
  <si>
    <t>Historically Black College and University Capital Financing: a program of federal assistance to facilitate low-cost capital basis for historically black colleges and universities</t>
  </si>
  <si>
    <t>Sec. 319(a)(4B)</t>
  </si>
  <si>
    <t>Historically Black College and University Capital Financing: grants or contracts, and technical assistance to eligible institutions to prepare them to qualify, apply for, and maintain capital improvement loans, including loans under this part</t>
  </si>
  <si>
    <t>Sec. 319(a)(5A)</t>
  </si>
  <si>
    <t>Minority Science and Engineering Improvement Program: grants to institutions of higher education to make long-term improvements in science and engineering education at predominantly minority institutions and to increase the participation of underrepresented ethnic minorities, particularly minority women, in scientific and technological careers</t>
  </si>
  <si>
    <t>Sec. 319(a)(5B)</t>
  </si>
  <si>
    <t>YES partnerships grant program: grants to partnerships to support the engagement of underrepresented minority and low-income youth in science, technology, engineering, and mathematics through outreach and experimental hands-on projects</t>
  </si>
  <si>
    <t>Federal TRIO programs: grants and contracts designed to identify qualified individuals from disadvantaged backgrounds, to prepare them for a program of postsecondary education, to provide support services for such students who are pursuing programs of postsecondary education, to motivate and prepare students for doctoral programs, and to train individuals serving or preparing for service in programs and projects so designed</t>
  </si>
  <si>
    <t>Sec. 404</t>
  </si>
  <si>
    <t>Gaining Early Awareness and Readiness for Undergraduate Programs (GEAR UP): to establish a program that encourages entities to provide support and maintain a commitment to low-income students, including those with disabilities; to assist the students in obtaining a secondary school diploma and to prepare for and succeed in postsecondary education</t>
  </si>
  <si>
    <t>Federal supplemental educational opportunity grants: through institutions of higher education, provide supplemental grants to assist in making available the benefits of postsecondary education to qualified students who demonstrate financial need</t>
  </si>
  <si>
    <t>Sec. 407</t>
  </si>
  <si>
    <t>Leveraging Educational Assistance Partnership Program (LEAP): incentive grants to states to assist them in providing grants to eligible students attending institutions of higher education or participating in programs of study abroad that are approved for credit by institutions of higher education and to eligible students for campus-based community service work-study</t>
  </si>
  <si>
    <t>Sec. 408</t>
  </si>
  <si>
    <t>Special programs for students whose families are engaged in migrant and seasonal farm work: to maintain and expand existing secondary and postsecondary high school equivalency programs and college assistance programs for migrant workers at institutions of higher education or at private nonprofit organizations working with institutions of higher education</t>
  </si>
  <si>
    <t>Sec. 410</t>
  </si>
  <si>
    <t>Child Care Access Means Parents in School Program: to support the participation of low-income parents in postsecondary education through the provision of campus-based child care services; grants to institutions of higher education to assist them with providing campus-based child care services to low-income students</t>
  </si>
  <si>
    <t>Sec. 430</t>
  </si>
  <si>
    <t>Loan Forgiveness for Service in Areas of National Need Program: a program of loan forgiveness for a borrower who is employed full-time in an area of national need</t>
  </si>
  <si>
    <t>Sec. 441</t>
  </si>
  <si>
    <t>Federal Work-Study Programs: a program to stimulate and promote the part-time employment of students who are enrolled as undergraduate, graduate, or professional students and who are in need of earnings from employment to pursue courses of study at eligible institutions, and to encourage students receiving federal student financial assistance to participate in community service activities</t>
  </si>
  <si>
    <t>Sec. 446</t>
  </si>
  <si>
    <t>Additional funds for off-campus community service: grants to institutions participating in the Federal Work-Study Programs to supplement off-campus community service employment</t>
  </si>
  <si>
    <t>Sec. 447</t>
  </si>
  <si>
    <t>Work colleges: a program to recognize, encourage, and promote the use of comprehensive work-learning-service programs when those programs are an integral part of the institution's educational program and part of a financial plan that decreases reliance on grants and loans</t>
  </si>
  <si>
    <t>Federal Direct Student Loan Program: administrative costs of the program</t>
  </si>
  <si>
    <t>Drug Endangered Children Act of 2007</t>
  </si>
  <si>
    <t>Grants for programs for drug-endangered children</t>
  </si>
  <si>
    <t>Breast Cancer and Environmental Research Act of 2008</t>
  </si>
  <si>
    <t>To the National Institutes of Health for carrying out research activities under title IV of the National Institutes of Health Public Health Service Act, including the activities of the interagency Breast Cancer and Environmental Research Coordinating Committee</t>
  </si>
  <si>
    <t>Great Lakes Legacy Reauthorization Act of 2008</t>
  </si>
  <si>
    <t>Environmental Protection Agency pollution control program: remediation of sediment contamination in areas of concern</t>
  </si>
  <si>
    <t>Environmental Protection Agency research and development program for the remediation of sediment contamination</t>
  </si>
  <si>
    <t>Environmental Protection Agency Great Lakes pollution control public information program</t>
  </si>
  <si>
    <t>Veterans' Mental Health and Other Care Improvements Act of 2008</t>
  </si>
  <si>
    <t>Pilot program for Internet-based substance use disorder treatment for veterans of Operation Iraqi Freedom and Operation Enduring Freedom</t>
  </si>
  <si>
    <t>Research program on comorbid post-traumatic stress disorder and substance use disorders</t>
  </si>
  <si>
    <t>Pilot program on provision of readjustment and transition assistance to veterans and their families in cooperation with veterans' centers</t>
  </si>
  <si>
    <t>Comprehensive Tuberculosis Elimination Act of 2008</t>
  </si>
  <si>
    <t>National strategy for combating and eliminating tuberculosis: grants for the prevention, control, and elimination of tuberculosis</t>
  </si>
  <si>
    <t>PROTECT Our Children Act of 2008</t>
  </si>
  <si>
    <t>Regional computer forensic labs for Internet crimes against children</t>
  </si>
  <si>
    <t>Enforcement of Intellectual Property Rights Act of 2008</t>
  </si>
  <si>
    <t>For resources to investigate and prosecute intellectual property crimes and crimes involving computers: $10 million for the Federal Bureau of Investigation and $10 million for the Criminal Division of the Department of Justice</t>
  </si>
  <si>
    <t>FBI support to DOJ Criminal Divisions for intellectual property crimes</t>
  </si>
  <si>
    <t>Sec. 401(a)(2)</t>
  </si>
  <si>
    <t>State grant program for training and prosecution of computer crimes</t>
  </si>
  <si>
    <t>Native American Housing Assistance and Self Determination Reauthorization Act of 2008</t>
  </si>
  <si>
    <t>Credit subsidy for guaranteed loans to finance tribal community and economic development activities</t>
  </si>
  <si>
    <t>Sec. 701(a)</t>
  </si>
  <si>
    <t>Block grants on behalf of Indian tribes (Native Americans) to carry out affordable housing activities</t>
  </si>
  <si>
    <t>Sec. 701(b)</t>
  </si>
  <si>
    <t>Credit subsidy for guaranteed loans for tribal housing activities</t>
  </si>
  <si>
    <t>Sec. 701(c)</t>
  </si>
  <si>
    <t>Assistance for a national organization representing Native American housing interests for providing training and technical assistance to Indian housing authorities and tribally designated housing entities</t>
  </si>
  <si>
    <t>An act to authorize funding to conduct a national training program for state and local prosecutors</t>
  </si>
  <si>
    <t>National training program for state and local prosecutors to improve professional skills and the ability of federal, state, and local prosecutors to work together</t>
  </si>
  <si>
    <t>An act to authorize funding for the National Crime Victim Law Institute to support victims of crime</t>
  </si>
  <si>
    <t>United States Attorneys Offices: for Victim Witnesses Assistance Programs</t>
  </si>
  <si>
    <t>Office for Victims of Crime to enhance the Victim Notification System</t>
  </si>
  <si>
    <t>Office for Victims of Crime: to administer appropriated funds</t>
  </si>
  <si>
    <t>Office for Victims of Crime: in support of organizations that provide legal counseling and support services</t>
  </si>
  <si>
    <t>Office for Victims of Crime: for technical and training assistance to states</t>
  </si>
  <si>
    <t>Railroad Safety Enhancement Act of 2008</t>
  </si>
  <si>
    <t>Div. A, sec. 3</t>
  </si>
  <si>
    <t>Funding to design, develop, and construct the Facility for Underground Rail Station and Tunnel and the Transportation Technology Center in Pueblo, Colorado</t>
  </si>
  <si>
    <t>Railroad safety technology grants</t>
  </si>
  <si>
    <t>Div. A, sec. 206</t>
  </si>
  <si>
    <t>Grants to Operation Lifesaver for a public information and education program to help prevent and reduce pedestrian, motor vehicle, and other accidents, incidents, injuries, and fatalities, and to improve awareness along railroad rights-of-way and at highway-rail grade crossings</t>
  </si>
  <si>
    <t>Rail safety infrastructure improvement grants</t>
  </si>
  <si>
    <t>Next Generation Corridor Train Equipment Pool</t>
  </si>
  <si>
    <t>Rail Cooperative Research Program</t>
  </si>
  <si>
    <t>High-speed rail corridor planning</t>
  </si>
  <si>
    <t>High-speed rail corridor development</t>
  </si>
  <si>
    <t>Div. B, sec. 304</t>
  </si>
  <si>
    <t>New tunnel alignment and environmental review in Baltimore, Maryland</t>
  </si>
  <si>
    <t>Omnibus Public Land Management Act of 2009</t>
  </si>
  <si>
    <t>Sec. 2501(b)</t>
  </si>
  <si>
    <t>Management of the Rio Puerco watershed ($7.5 million over ten years)</t>
  </si>
  <si>
    <t>Sec. 13006</t>
  </si>
  <si>
    <t>For the National Tropical Botanical Garden</t>
  </si>
  <si>
    <t>Sec. 7304</t>
  </si>
  <si>
    <t>Cultural resource programs within the National Park Service for the Route 66 Corridor</t>
  </si>
  <si>
    <t>Sec. 14301(e)</t>
  </si>
  <si>
    <t>Christopher and Dana Reeve Paralysis Act: for programs that study the unique health challenges associated with paralysis and that carry out projects and interventions to improve quality of life and long-term health status of such persons, funded as Paralysis Research Center in Administration for Community Living</t>
  </si>
  <si>
    <t>Sec. 7111</t>
  </si>
  <si>
    <t>Women's rights national historic parks, Votes for Women Trail: to facilitate the establishment of the trail and ensure effective coordination through cooperative agreements and memoranda of understanding</t>
  </si>
  <si>
    <t>Sec. 12005</t>
  </si>
  <si>
    <t>Ocean exploration advisory board</t>
  </si>
  <si>
    <t>Sec. 12107</t>
  </si>
  <si>
    <t>For undersea research to be conducted by the regional centers at the National Oceanic and Atmospheric Administration</t>
  </si>
  <si>
    <t>For the National Technology Institute for undersea research to be conducted by the National Institute for Undersea Science and Technology at the National Oceanic and Atmospheric Administration</t>
  </si>
  <si>
    <t>Sec. 12207</t>
  </si>
  <si>
    <t>For the National Oceanic and Atmospheric Administration to develop a comprehensive federal ocean and coastal mapping plan</t>
  </si>
  <si>
    <t>Sec. 12502</t>
  </si>
  <si>
    <t>For the National Ocean Service to conduct a coastal and estuarine land conservation program</t>
  </si>
  <si>
    <t>Feasibility studies on projects that address water shortages within the Snake, Boise, and Payette River systems in Idaho</t>
  </si>
  <si>
    <t>Sec. 9003</t>
  </si>
  <si>
    <t>Feasibility study for San Diego reservoir and intertie system</t>
  </si>
  <si>
    <t>Tumalo Irrigation District water conservation project, Oregon</t>
  </si>
  <si>
    <t>Sec. 9107</t>
  </si>
  <si>
    <t>Continues capital projects for the endangered fish recovery implementation programs for the Upper Colorado and San Juan River Basins</t>
  </si>
  <si>
    <t>Santa Margarita River Project (California)</t>
  </si>
  <si>
    <t>Prado Basin Natural Treatment System Project (California)</t>
  </si>
  <si>
    <t>Sec. 9111</t>
  </si>
  <si>
    <t>Lower Chino Dairy Area Desalination Demonstration and Reclamation Project</t>
  </si>
  <si>
    <t>Reclamation Climate Change and Water Program</t>
  </si>
  <si>
    <t>Hydroelectric power assessment</t>
  </si>
  <si>
    <t>Sec. 9507(a)(6A)</t>
  </si>
  <si>
    <t>National Streamflow Information Program</t>
  </si>
  <si>
    <t>Sec. 9507(a)(6B)</t>
  </si>
  <si>
    <t>Network enhancements for National Streamflow Information Program</t>
  </si>
  <si>
    <t>Sec. 9507(b)(7)</t>
  </si>
  <si>
    <t>National groundwater resources monitoring</t>
  </si>
  <si>
    <t>Sec. 9507(c)(3)</t>
  </si>
  <si>
    <t>Brackish groundwater assessment</t>
  </si>
  <si>
    <t>Sec. 9507(d)(4)</t>
  </si>
  <si>
    <t>Improved water estimation, measurement, and monitoring technologies</t>
  </si>
  <si>
    <t>National Water Availability and Use Assessment Program</t>
  </si>
  <si>
    <t>Sec. 9508(e)(2)</t>
  </si>
  <si>
    <t>Grants to assist state water resource agencies in developing and integrating water use and availability datasets</t>
  </si>
  <si>
    <t>Sec. 10609(a)(1)</t>
  </si>
  <si>
    <t>Navajo-Gallup Water Supply Project</t>
  </si>
  <si>
    <t>Sec. 10609(b)(1)</t>
  </si>
  <si>
    <t>San Juan Wells</t>
  </si>
  <si>
    <t>Sec. 10609(b)(2)</t>
  </si>
  <si>
    <t>Wells in the Little Colorado and Rio Grande basins</t>
  </si>
  <si>
    <t>Sec. 10609(c)(1A)</t>
  </si>
  <si>
    <t>Fruitland-Cambridge Irrigation Project, San Juan River</t>
  </si>
  <si>
    <t>Sec. 10609(c)(1B)</t>
  </si>
  <si>
    <t>Hogback-Cudei Irrigation Project - San Juan River</t>
  </si>
  <si>
    <t>Sec. 10609(d)</t>
  </si>
  <si>
    <t>Irrigation projects in Non-Navajo Irrigation Districts in New Mexico</t>
  </si>
  <si>
    <t>Sec. 10702(f)</t>
  </si>
  <si>
    <t>Authorizes deposits into the Navajo Nation Water Resources Development Trust Fund</t>
  </si>
  <si>
    <t>Sec. 10807(b)(3)</t>
  </si>
  <si>
    <t>Authorizes deposits into the Shoshone-Paiute Tribes Water Rights Development Fund</t>
  </si>
  <si>
    <t>Sec. 10807(c)(3)</t>
  </si>
  <si>
    <t>Authorizes deposits into the Shoshone-Paiute Tribes Operation and Maintenance Fund</t>
  </si>
  <si>
    <t>Serve America Act</t>
  </si>
  <si>
    <t>Sec. 1841</t>
  </si>
  <si>
    <t>Learn and Serve America: programs for elementary and secondary schools to promote service learning</t>
  </si>
  <si>
    <t>National Service Trust Program and provision of national service educational awards (subtitles C and D of title I)</t>
  </si>
  <si>
    <t>National Civilian Community Corps (subtitle E of title I)</t>
  </si>
  <si>
    <t>Investment for quality and innovation: additional corporation activities to support national service, including Serve America Fellowships, National Service Reserve Corps, the Social Innovation Fund pilot program, national service program clearinghouses, the Volunteer Generation Fund, and the Nonprofit Capacity Building Program (subtitle H of title I)</t>
  </si>
  <si>
    <t>Administration of the Serve America Act</t>
  </si>
  <si>
    <t>Sec. 2161(a)</t>
  </si>
  <si>
    <t>National volunteer antipoverty programs in the Domestic Volunteer Service Act of 1973: Volunteers in Service to America (VISTA) (part A of title I, 42 U.S.C. 5081)</t>
  </si>
  <si>
    <t>National volunteer antipoverty programs in the Domestic Volunteer Service Act of 1973: special volunteer programs (part C of title I)</t>
  </si>
  <si>
    <t>Sec. 2161(b)</t>
  </si>
  <si>
    <t>National Senior Service Corps in the Domestic Volunteer Service Act of 1973: Retired and Senior Volunteer Program (part A of title II)</t>
  </si>
  <si>
    <t>National Senior Service Corps in the Domestic Volunteer Service Act of 1973: Foster Grandparent Program</t>
  </si>
  <si>
    <t>National Senior Service Corps in the Domestic Volunteer Service Act of 1973: Senior Companion Program</t>
  </si>
  <si>
    <t>National Senior Service Corps in the Domestic Volunteer Service Act of 1973: demonstration programs</t>
  </si>
  <si>
    <t>Sec. 2161(c)</t>
  </si>
  <si>
    <t>National Volunteer Antipoverty Programs (sec. 5081) and the National Senior Service Corps (sec. 5082): administration and coordination</t>
  </si>
  <si>
    <t>Fraud Enforcement and Recovery Act of 2009</t>
  </si>
  <si>
    <t>For the Federal Bureau of Investigation to investigate mortgage fraud</t>
  </si>
  <si>
    <t>For the United States Attorneys to prosecute mortgage fraud cases</t>
  </si>
  <si>
    <t>For general legal activities of the Criminal, Civil, and Tax Divisions of the Department of Justice to prosecute mortgage fraud cases</t>
  </si>
  <si>
    <t>For the Inspector General of the Department of Housing and Urban Development to investigate federal assistance programs and financial institutions</t>
  </si>
  <si>
    <t>Sec. 3(d)</t>
  </si>
  <si>
    <t>For the United States Secret Service for investigations of federal assistance programs and financial institutions</t>
  </si>
  <si>
    <t>For the Securities and Exchange Commission for investigations and enforcement proceedings involving financial institutions</t>
  </si>
  <si>
    <t>Helping Families Save Their Homes Act of 2009</t>
  </si>
  <si>
    <t>Sec. 1105</t>
  </si>
  <si>
    <t>Community homeless assistance planning boards; preventing involuntary family separation; technical assistance to prevent and end homelessness; protection of personally identifying information by victim service providers</t>
  </si>
  <si>
    <t>Research into the efficacy of interventions for homeless families</t>
  </si>
  <si>
    <t>Homeless assistance grants: emergency shelter; supportive/transitional; Safe Haven; Section 8 single-room occupancy units; Shelter Plus care</t>
  </si>
  <si>
    <t>Enhanced Partnership With Pakistan Act of 2009</t>
  </si>
  <si>
    <t>Sec. 102(d)</t>
  </si>
  <si>
    <t>Assistance to Pakistan for democratization and economic and development assistance: funds appropriated to the President to carry out the program (section 102(a)); additionally, a sense of Congress resolution to further authorize appropriations of $1.5 billion for years 2015–2019, subject to an improving political and economic climate in Pakistan</t>
  </si>
  <si>
    <t>Sec. 202(a)(1)</t>
  </si>
  <si>
    <t>International Military Education and Training Program (IMET): for training in Pakistan, including expanded international military education and training (E-IMET)</t>
  </si>
  <si>
    <t>Sec. 202(b)(1)</t>
  </si>
  <si>
    <t>Foreign Military Financing Program: for purchasing defense articles, defense services, and military education and training for Pakistan</t>
  </si>
  <si>
    <t>Sec. 202(d)(4)</t>
  </si>
  <si>
    <t>Exchange programs between military and civilian personnel of Pakistan and certain other countries through the State Department</t>
  </si>
  <si>
    <t>Energy and Water Development and Related Agencies Appropriations Act, 2010</t>
  </si>
  <si>
    <t>Operation and maintenance of the Assiniboine and Sioux Rural Water System; funds provided to the Bureau of Indian Affairs</t>
  </si>
  <si>
    <t>Ryan White HIV/AIDS Treatment Extension Act of 2009</t>
  </si>
  <si>
    <t>Sec. 2(b)</t>
  </si>
  <si>
    <t>Emergency relief for areas with substantial need for services; to include formula grants, supplemental grants, and transitional grants for certain areas</t>
  </si>
  <si>
    <t>Sec. 2(c)</t>
  </si>
  <si>
    <t>Care grant program under the Secretary of Health and Human Services for grants to states to improve the quality, availability, and organization of health care and support services for individuals and families with HIV/AIDS</t>
  </si>
  <si>
    <t>Sec. 2(d)</t>
  </si>
  <si>
    <t>Early intervention services; categorical grants through the Health Resources and Services Administration to public and nonprofit private entities to provide early intervention services, including core medical services, support services, and administrative expenses</t>
  </si>
  <si>
    <t>Sec. 2(e)</t>
  </si>
  <si>
    <t>Grants to public and nonprofit private entities through the Health Resources and Services Administration to provide family-centered care involving outpatient or ambulatory care for women, infants, children, and youth with HIV/AIDS</t>
  </si>
  <si>
    <t>Sec. 2(f)(1)</t>
  </si>
  <si>
    <t>Demonstration and training; AIDS education and training centers, grants, and contracts to assist public and nonprofit private entities, schools, and academic health science centers in meeting the costs of projects for AIDS education and training</t>
  </si>
  <si>
    <t>Sec. 2(f)(B)</t>
  </si>
  <si>
    <t>Demonstration and training: grants to dental schools and programs to assist schools and programs with respect to oral health care for patients with HIV</t>
  </si>
  <si>
    <t>Sec. 2(f)(2)</t>
  </si>
  <si>
    <t>Initiative to evaluate and address the disproportionate impact of HIV/AIDS on and the disparities in access, treatment, care, and outcome for racial and ethnic minorities; includes emergency assistance, care grants, early intervention services, HIV-related care, and education and training centers</t>
  </si>
  <si>
    <t>Patient Protection and Affordable Care Act</t>
  </si>
  <si>
    <t>Sec. 2952(b)</t>
  </si>
  <si>
    <t>For research on postpartum conditions and for services to individuals with postpartum conditions and their families</t>
  </si>
  <si>
    <t>Sec. 3013</t>
  </si>
  <si>
    <t>Grants or contracts for quality measure development in the provision of health care through Centers for Medicare and Medicaid Services and the Agency for Healthcare Research and Quality</t>
  </si>
  <si>
    <t>Sec. 3015</t>
  </si>
  <si>
    <t>Grants or contracts for the collection and analysis of data on quality and resource use measures</t>
  </si>
  <si>
    <t>Public reporting of performance information: performance information summary data to be made available through standardized Internet websites</t>
  </si>
  <si>
    <t>Sec. 3501</t>
  </si>
  <si>
    <t>Health care delivery system research: innovative methodologies for the delivery of health care that represent best practices</t>
  </si>
  <si>
    <t>Sec. 3504</t>
  </si>
  <si>
    <t>Emergency medicine research and pediatric emergency medicine research through the National Institutes of Health, Agency for Healthcare and Research Quality, Health Resources and Services Administration, and Centers for Disease Control and Prevention</t>
  </si>
  <si>
    <t>Sec. 3505(a)</t>
  </si>
  <si>
    <t>Grants for trauma care centers and for service availability for public, nonprofit Indian Health Service, Indian tribal, and urban Indian trauma centers</t>
  </si>
  <si>
    <t>Sec. 3505(b)</t>
  </si>
  <si>
    <t>Grants to states to promote universal access to trauma care services provided by trauma centers and trauma-related physicians</t>
  </si>
  <si>
    <t>Sec. 3509(a)</t>
  </si>
  <si>
    <t>Health and Human Services Office on Women's Health in the Office of the Secretary</t>
  </si>
  <si>
    <t>Sec. 3509(b)</t>
  </si>
  <si>
    <t>Office of Women’s Health within the Centers for Disease Control and Prevention</t>
  </si>
  <si>
    <t>Sec. 3509(e)</t>
  </si>
  <si>
    <t>Office of Women’s Health and Gender-Based Research in the Agency for Healthcare Research and Quality</t>
  </si>
  <si>
    <t>Sec. 3509(f)</t>
  </si>
  <si>
    <t>Office of Women’s Health within the administrator's office of the Health Resources and Services Administration</t>
  </si>
  <si>
    <t>Sec. 3509(g)</t>
  </si>
  <si>
    <t>Office of Women’s Health within the office of the administrator of the Food and Drug Administration</t>
  </si>
  <si>
    <t>Sec. 3510</t>
  </si>
  <si>
    <t>Grants for the development and operation of programs for the Patient Navigator Program</t>
  </si>
  <si>
    <t>Sec. 4201</t>
  </si>
  <si>
    <t>Community transformation grants through the Centers for Disease Control and Prevention to implement, evaluate, and disseminate evidence-based community preventive health activities in order to reduce chronic disease rates, prevent development of secondary conditions, and address health disparities</t>
  </si>
  <si>
    <t>Sec. 4302(a)</t>
  </si>
  <si>
    <t>Understanding health disparities: data collection, analysis, and quality for any federally conducted or supported health care or public health program, activity, or survey</t>
  </si>
  <si>
    <t>Sec. 5103(c)</t>
  </si>
  <si>
    <t>Grants to state and regional centers to collect, analyze, and report data about programs to the National Center for Health Workforce Analysis and the public</t>
  </si>
  <si>
    <t>Sec. 5103(d)</t>
  </si>
  <si>
    <t>Health care workforce assessment: increase in grants for longitudinal evaluations of individuals who have received education, training, and financial assistance under this title</t>
  </si>
  <si>
    <t>Sec. 5203(c)(1)</t>
  </si>
  <si>
    <t>Health care workforce loan repayment program: pediatric medical and surgical specialist loan repayment program</t>
  </si>
  <si>
    <t>Health care workforce loan repayment program: child and adolescent mental and behavioral health specialist loan repayment program</t>
  </si>
  <si>
    <t>Sec. 5206(b)</t>
  </si>
  <si>
    <t>Grants and scholarships to individuals for midcareer professionals in the public health and allied health workforce to receive additional training in public health</t>
  </si>
  <si>
    <t>Sec. 5208(b)</t>
  </si>
  <si>
    <t>Grants for the cost of operating nurse-managed health clinics</t>
  </si>
  <si>
    <t>Sec. 5210(d)</t>
  </si>
  <si>
    <t>Duties and responsibilities for recruitment and training of the Public Health Service Commissioned Corps</t>
  </si>
  <si>
    <t>Public Health Service Ready Reserve Corps</t>
  </si>
  <si>
    <t>Sec. 5302</t>
  </si>
  <si>
    <t>Grants to provide new training opportunities for direct care workers who are employed in long-term care settings</t>
  </si>
  <si>
    <t>Sec. 5307(a)</t>
  </si>
  <si>
    <t>Training and education of health professionals: grants for research, demonstration projects, and model curricula in cultural competency, disease prevention and public health, the reduction of health disparities, and working with individuals with disabilities</t>
  </si>
  <si>
    <t>Sec. 5307(b)</t>
  </si>
  <si>
    <t>Nursing workforce development: grants for research, demonstration projects and model curricula in cultural competency, disease prevention and public health, the reduction of health disparities, and working with individuals with disabilities</t>
  </si>
  <si>
    <t>Sec. 5314</t>
  </si>
  <si>
    <t>Fellowship training by the Centers for Disease Control and Prevention in applied public epidemiology, public health laboratory science, and public health informatics; expansion of the Epidemic Intelligence Service</t>
  </si>
  <si>
    <t>Sec. 5405</t>
  </si>
  <si>
    <t>Establishment of a primary care extension program and primary care extension program state hubs through the Agency for Healthcare and Research Quality</t>
  </si>
  <si>
    <t>Sec. 5605</t>
  </si>
  <si>
    <t>Establishment of Commission on Key National Indicators and Key National Indicator System</t>
  </si>
  <si>
    <t>Sec. 2041</t>
  </si>
  <si>
    <t>Enhancement of long-term care: grants and incentives for individuals to train for, seek, and maintain employment in providing direct care in long-term care staffing; grants to long-term care facilities to help offset costs of an electronic health record technology program</t>
  </si>
  <si>
    <t>Sec. 6703</t>
  </si>
  <si>
    <t>Administration of adult protective services functions and grant programs within the Department of Health and Human Services</t>
  </si>
  <si>
    <t>Grants to support the long-term care ombudsman program</t>
  </si>
  <si>
    <t>Ombudsman training programs</t>
  </si>
  <si>
    <t>Sec. 10333</t>
  </si>
  <si>
    <t>Grants to support community-based collaborative care network programs that provide comprehensive coordinated and integrated health care services for low-income populations</t>
  </si>
  <si>
    <t>Sec. 10334(h)</t>
  </si>
  <si>
    <t>Establishment and support of the Office of Minority Health in the Office of the Secretary</t>
  </si>
  <si>
    <t>Sec. 10408(e)</t>
  </si>
  <si>
    <t>Grants for businesses to provide comprehensive workplace wellness programs; $200,000,000 for fiscal years 2011–2015</t>
  </si>
  <si>
    <t>Sec. 10410</t>
  </si>
  <si>
    <t>Grants for establishment of national centers of excellence for depression</t>
  </si>
  <si>
    <t>Sec. 10412</t>
  </si>
  <si>
    <t>Grants to states, political subdivisions of states, Indian tribes, and tribal organizations to develop and implement public access defibrillation programs</t>
  </si>
  <si>
    <t>Sec. 10501(g)</t>
  </si>
  <si>
    <t>National Diabetes Prevention Program through the Centers for Disease Control</t>
  </si>
  <si>
    <t>Sec. 105011(1)</t>
  </si>
  <si>
    <t>Rural physician training grant program through the Health Resources and Services Administration for the purpose of recruiting students most likely to practice medicine in rural communities, providing rural-centric training, and increasing the number of allopathic and osteopathic graduates who will practice in underserved rural areas</t>
  </si>
  <si>
    <t>Sec. 10501(m)</t>
  </si>
  <si>
    <t>Preventive medicine and public health training: operation of public health training centers, public health traineeships, a preventive medicine and public health training and grant program, and health administration traineeships and special projects (Public Health and Preventive Medicine programs under Health Resources and Services Administration, Health Workforce)</t>
  </si>
  <si>
    <t>Sec. 10607</t>
  </si>
  <si>
    <t>Grants for state demonstration programs to evaluate alternatives to current medical tort litigation; $50,000,000 for fiscal years 2011–2015</t>
  </si>
  <si>
    <t>Sec. 10221(a)</t>
  </si>
  <si>
    <t>Indian Health Care Improvement Reauthorization and Extension Act of 2009 (IHCIREA): grant program for demonstration projects for the provision of telemental health services to Indian youth in danger of suicide</t>
  </si>
  <si>
    <t>Sec. 10221(c)</t>
  </si>
  <si>
    <t>Indian Health Care Improvement Reauthorization and Extension Act of 2009 (IHCIREA): demonstration grant program to test the effectiveness of culturally compatible, school-based, life skills curriculum for the prevention of Indian and Alaska Native adolescent suicide</t>
  </si>
  <si>
    <t>Sec. 10221</t>
  </si>
  <si>
    <t>Indian Health Care Improvement Reauthorization and Extension Act of 2009 (IHCIREA): Native Hawaiian health care - comprehensive health promotion, disease prevention, and primary health services - grants to, or enter into contracts for the purpose of providing comprehensive health promotion and disease prevention services as well as primary health services to Native Hawaiians</t>
  </si>
  <si>
    <t>Indian Health Care Improvement Reauthorization and Extension Act of 2009 (IHCIREA): Administrative grant for Papa Ola Lokahi</t>
  </si>
  <si>
    <t>Indian Health Care Improvement Reauthorization and Extension Act of 2009 (IHCIREA): Native Hawaiian health scholarships</t>
  </si>
  <si>
    <t>Sec. 3129</t>
  </si>
  <si>
    <t>Rural flexibility grant program (FLEX) for performance and quality improvements</t>
  </si>
  <si>
    <t>Sec. 5316</t>
  </si>
  <si>
    <t>Demonstration grants for family nurse practitioner programs</t>
  </si>
  <si>
    <t>Grants to enhance the provision of adult protective services provided by States and local units of government</t>
  </si>
  <si>
    <t>Grants to states for demonstration programs that through training and other methods would enhance the ability to detect and prevent elder abuse</t>
  </si>
  <si>
    <t>Sec. 4102(b)</t>
  </si>
  <si>
    <t>Oral Health infrastructure: through the Centers for Disease Control and Prevention, cooperative agreements with State, territorial, and Indian tribes or tribal organizations to establish oral health leadership and program guidance, oral health data collection and interpretation, a multi-dimensional delivery system for oral health, and to implement science-based programs (including dental sealants and community water fluoridation) to improve oral health</t>
  </si>
  <si>
    <t>Sec. 4102(d)(4)</t>
  </si>
  <si>
    <t>Increased participation of states in the National Oral Health Surveillance System</t>
  </si>
  <si>
    <t>Health Care and Education Reconciliation Act of 2010</t>
  </si>
  <si>
    <t>Sec. 2101</t>
  </si>
  <si>
    <t>Discretionary Federal Pell Grant Program</t>
  </si>
  <si>
    <t>Caregivers and Veterans Omnibus Health Services Act of 2010</t>
  </si>
  <si>
    <t>For the purposes of improving how the Department of Veterans Affairs measures quality in individual facilities, to develop an aggregate quality metric from existing sources of data, to ensure that existing measures of quality are monitored and analyzed routinely and thoroughly, and to encourage research and development in the area of quality metrics</t>
  </si>
  <si>
    <t>Haiti Economic Lift Program Act of 2010</t>
  </si>
  <si>
    <t>Sec. 9(c)(1)</t>
  </si>
  <si>
    <t>Establishes a support team in Haiti for the purpose of helping to meet the short-term and long-term technical, capacity-building, and training needs of the authorities of the Government of Haiti responsible for customs services</t>
  </si>
  <si>
    <t>Comprehensive Iran Sanctions, Accountability, and Divestment Act of 2010</t>
  </si>
  <si>
    <t>Sec. 109(b)</t>
  </si>
  <si>
    <t>To the Secretary of the Treasury for the Office of Terrorism and Financial Intelligence</t>
  </si>
  <si>
    <t>Sec. 109(d)</t>
  </si>
  <si>
    <t>For the Bureau of Industry and Security</t>
  </si>
  <si>
    <t>Dodd-Frank Wall Street Reform and Consumer Protection Act</t>
  </si>
  <si>
    <t>Sec. 989A</t>
  </si>
  <si>
    <t>Senior citizen investor protections</t>
  </si>
  <si>
    <t>Sec. 991(c)</t>
  </si>
  <si>
    <t>The Securities and Exchange Commission</t>
  </si>
  <si>
    <t>Sec. 1017(e)(2)</t>
  </si>
  <si>
    <t>Additional funding for the Consumer Financial Protection Bureau</t>
  </si>
  <si>
    <t>Sec. 1443</t>
  </si>
  <si>
    <t>National public service media campaign to promote housing counseling</t>
  </si>
  <si>
    <t>Sec. 1444</t>
  </si>
  <si>
    <t>Grants for housing counseling assistance</t>
  </si>
  <si>
    <t>Sec. 1498</t>
  </si>
  <si>
    <t>Grants for legal assistance for foreclosure-related issues</t>
  </si>
  <si>
    <t>Indian Arts and Crafts Amendments of 2010</t>
  </si>
  <si>
    <t>Sec. 241(a)(2)</t>
  </si>
  <si>
    <t>Grants to Indian tribes for technical assistance in development of tribal action plans to combat Indian alcohol and substance abuse</t>
  </si>
  <si>
    <t>Grants to Indian tribes adopting a tribal action plan to implement and develop community and in-school training, education, and prevention programs on alcohol and substance abuse, fetal alcohol syndrome, and fetal alcohol effect</t>
  </si>
  <si>
    <t>Sec. 241(b)</t>
  </si>
  <si>
    <t>Education programs on alcohol and substance abuse; summer youth programs through the Office of Indian Alcohol and Substance Abuse in the Substance Abuse and Mental Health Services Administration</t>
  </si>
  <si>
    <t>Sec. 241(c)</t>
  </si>
  <si>
    <t>For the planning, design, construction, and renovation, purchase, or lease of land or facilities for emergency shelters and halfway houses to provide emergency care for Indian youth</t>
  </si>
  <si>
    <t>To provide emergency care for Indian youth by staffing and operating emergency shelters and halfway houses</t>
  </si>
  <si>
    <t>Sec. 241(e)</t>
  </si>
  <si>
    <t>For the eradication of the sources and trafficking of illegal narcotics; assistance provided by the Secretary of the Interior for the investigation and control of illegal narcotics traffic within reservations and international waters along border areas within reservations</t>
  </si>
  <si>
    <t>Sec. 241(e)(2)</t>
  </si>
  <si>
    <t>The Secretary of the Interior shall establish and implement a program for the eradication of marijuana cultivation and for the interdiction, investigation, and control of illegal narcotics trafficking within Indian country</t>
  </si>
  <si>
    <t>Sec. 241(f)</t>
  </si>
  <si>
    <t>New or supplemental training programs for all Bureau of Indian Affairs and tribal law enforcement and judicial personnel for investigating and prosecuting offenses relating to illegal narcotics and for youth and adult alcohol and substance abuse prevention and treatment</t>
  </si>
  <si>
    <t>Sec. 241(g)</t>
  </si>
  <si>
    <t>Construction or renovation of new or existing juvenile detention centers</t>
  </si>
  <si>
    <t>Staffing and operating new or existing juvenile detention centers</t>
  </si>
  <si>
    <t>Sec. 242(a)(2)</t>
  </si>
  <si>
    <t>Office of Tribal Justice Support: for the further development, operation, and enhancement of tribal justice systems and Courts of Indian Offenses; to survey the conditions of tribal justice systems and Courts of Indian Offenses to determine the resources and funding, including base support funding, needed for the expeditious and effective administration of justice</t>
  </si>
  <si>
    <t>Base support funding for tribal justice systems</t>
  </si>
  <si>
    <t>Administrative expenses for the Office of Tribal Justice Support</t>
  </si>
  <si>
    <t>Administrative expenses for tribal judicial conferences</t>
  </si>
  <si>
    <t>Sec. 242(b)(3)</t>
  </si>
  <si>
    <t>Tribal justice training and technical assistance grants and tribal civil legal assistance grants</t>
  </si>
  <si>
    <t>Grants to provide technical assistance to Indian tribes to enable such tribes to carry out the development, enhancement, and continuing operation of tribal justice systems</t>
  </si>
  <si>
    <t>Sec. 243</t>
  </si>
  <si>
    <t>To the Attorney General for grants to Indian tribal governments to prevent crime in Indian country</t>
  </si>
  <si>
    <t>Agricultural Credit Act of 2010</t>
  </si>
  <si>
    <t>Reauthorization of the State Agricultural Loan Mediation programs</t>
  </si>
  <si>
    <t>Small Business Jobs Act of 2010</t>
  </si>
  <si>
    <t>Sec. 1314</t>
  </si>
  <si>
    <t>Small business teams pilot program</t>
  </si>
  <si>
    <t>Sec. 4222</t>
  </si>
  <si>
    <t>For the Secretary of Commerce to increase the number of full-time employees responsible for promoting businesses' participation in the global marketplace</t>
  </si>
  <si>
    <t>Sec. 4223</t>
  </si>
  <si>
    <t>For the Secretary of Commerce to improve rural businesses' access to the global marketplace</t>
  </si>
  <si>
    <t>Sec. 4224</t>
  </si>
  <si>
    <t>To the Secretary of Commerce for additional funding for the ExporTech program; funds provided for an 18-month period</t>
  </si>
  <si>
    <t>Sec. 4225</t>
  </si>
  <si>
    <t>To the Secretary of Commerce for the Manufacturing and Services unit of the International Trade Administration; funds provided for an 18-month period</t>
  </si>
  <si>
    <t>National Aeronautics and Space Administration Authorization Act of 2010</t>
  </si>
  <si>
    <t>Sec. 907</t>
  </si>
  <si>
    <t>Commercial Reusable Suborbital Research Program</t>
  </si>
  <si>
    <t>Veterans' Benefits Act of 2010</t>
  </si>
  <si>
    <t>Veterans Energy-Related Employment Program pilot</t>
  </si>
  <si>
    <t>The WIPA and PABSS Reauthorization Act of 2010</t>
  </si>
  <si>
    <t>Sec. 1149</t>
  </si>
  <si>
    <t>Work Incentives Planning and Assistance Program (WIPA) for disseminating information to disabled beneficiaries on programs and issues (created in P.L. 106-170)</t>
  </si>
  <si>
    <t>Sec. 1150</t>
  </si>
  <si>
    <t>State grants for work incentives assistance to disabled beneficiaries of Social Security (Protection &amp; Advocacy for Beneficiaries of Social Security) (created in P.L. 106-170)</t>
  </si>
  <si>
    <t>Coast Guard Authorization Act of 2010</t>
  </si>
  <si>
    <t>Sec. 101(4)</t>
  </si>
  <si>
    <t>Retired Pay</t>
  </si>
  <si>
    <t>Sec. 705(b)</t>
  </si>
  <si>
    <t>Prevention and education program for small oil spills</t>
  </si>
  <si>
    <t>Sec. 706(d)</t>
  </si>
  <si>
    <t>Improved coordination with tribal governments</t>
  </si>
  <si>
    <t>America's Waterway Watch Program</t>
  </si>
  <si>
    <t>Sec. 828(b)(4)</t>
  </si>
  <si>
    <t>Port security grants</t>
  </si>
  <si>
    <t>Claims Resettlement Act of 2010</t>
  </si>
  <si>
    <t>Sec. 509(c)(2)</t>
  </si>
  <si>
    <t>Title V Taos Pueblo Indian Water Rights Settlement Agreement; grants through the Commissioner of Reclamation to plan, permit, design, engineer, and construct Mutual Benefit Projects as defined in the settlement agreement</t>
  </si>
  <si>
    <t>Title V Taos Pueblo Indian Water Rights Settlement; the Taos Pueblo Water Development Fund</t>
  </si>
  <si>
    <t>Sec. 617(c)(1)</t>
  </si>
  <si>
    <t>Title VI Aamodt Litigation Settlement; assistance for the Pueblos in paying the Pueblos' share of the cost of operating, maintaining, and replacing the Pueblo Water Facilities and Regional Water System</t>
  </si>
  <si>
    <t>Healthy, Hunger-Free Kids Act of 2010</t>
  </si>
  <si>
    <t>Sec. 23</t>
  </si>
  <si>
    <t>To provide grants, on a competitive basis, to State educational agencies for the purpose of providing subgrants to local educational agencies for qualifying schools to establish, maintain, or expand the school breakfast program</t>
  </si>
  <si>
    <t>Sec. 113</t>
  </si>
  <si>
    <t>To provide Summer Food Service Program support grants on a competitive basis for technical assistance, assistance with site improvement costs, and other innovative activities that improve and encourage sponsor retention</t>
  </si>
  <si>
    <t>Information for the public on the school nutrition environment</t>
  </si>
  <si>
    <t>Establishment of an organic food pilot program to provide grants on a competitive basis to school food authorities</t>
  </si>
  <si>
    <t>Access to local foods: Farm to School Program to assist eligible schools, state and local agencies, Indian tribal organizations, agricultural producers or groups of agricultural producers, and nonprofit entities through grants and technical assistance to implement farm to school programs that improve access to local food in eligible schools</t>
  </si>
  <si>
    <t>Sec. 244</t>
  </si>
  <si>
    <t>Establish a research, demonstration, and technical assistance program to promote healthy eating and reduce the prevalence of obesity among all population groups but especially among children, by applying the principles and insights of behavioral economics research in schools, child care programs, and other settings</t>
  </si>
  <si>
    <t>Sec. 424</t>
  </si>
  <si>
    <t>Farmers Market Nutrition Program</t>
  </si>
  <si>
    <t>To enact certain laws relating to national and commercial space programs as title 51, United States Code, “National and Commercial Space Programs”</t>
  </si>
  <si>
    <t>Commercial Space Transportation reauthorization</t>
  </si>
  <si>
    <t>Child Abuse Prevention, Family Violence Prevention, Abandoned Infants Assistance Reauthorization Act</t>
  </si>
  <si>
    <t>Community-based grants for the prevention of child abuse and neglect and a national network for community-based family resource programs</t>
  </si>
  <si>
    <t>Grants for national domestic violence hotlines</t>
  </si>
  <si>
    <t>To facilitate and promote quality adoption opportunities and maintain an Internet-based national adoption information exchange system</t>
  </si>
  <si>
    <t>Sec. 114</t>
  </si>
  <si>
    <t>Grants to states and Indian tribes for the prevention and treatment of child abuse or neglect; for an advisory board on child abuse and neglect, a national clearinghouse on family violence prevention, grants to states for investigation and prosecution, and research and assistance activities</t>
  </si>
  <si>
    <t>Sec. 303(a)</t>
  </si>
  <si>
    <t>Family violence and prevention services: formula grants to states, grants to Indian tribes, national resource centers and training and technical assistance centers, grants to state domestic violence coalitions, and specialized services for abused parents and their children</t>
  </si>
  <si>
    <t>Sec. 303(c)</t>
  </si>
  <si>
    <t>Domestic Violence Prevention Enhancement and Leadership Through Alliances program: cooperative agreements with state domestic violence coalitions</t>
  </si>
  <si>
    <t>An act to reauthorize and enhance Johanna's law to increase public awareness and knowledge with respect to gynecologic cancers</t>
  </si>
  <si>
    <t>Sec. 1(a)(1)</t>
  </si>
  <si>
    <t>Johanna's Law: programs to increase the awareness and knowledge of women and health care providers with respect to gynecologic cancers $18 million for the period 2012–2014</t>
  </si>
  <si>
    <t>National Wildlife Refuge Volunteer Improvement Act of 2010</t>
  </si>
  <si>
    <t>National Volunteer Coordination Program within the National Wildlife Refuge System</t>
  </si>
  <si>
    <t>America COMPETES Reauthorization Act of 2010</t>
  </si>
  <si>
    <t>Sec. 901(b)</t>
  </si>
  <si>
    <t>Summer institutes for science, technology, and mathematics teachers</t>
  </si>
  <si>
    <t>Sec. 1003(b)</t>
  </si>
  <si>
    <t>Advanced placement and international programs and programs for Master's Degrees; grants to eligible recipients who will carry out activities designed to increase the number of qualified teachers serving high-need schools and who are teaching advanced placement or international baccalaureate courses in mathematics, science, or critical foreign languages</t>
  </si>
  <si>
    <t>Sec. 1003(c)</t>
  </si>
  <si>
    <t>Grants to promote better alignment of content knowledge requirements for secondary school graduation with the knowledge and skills needed to succeed in postsecondary education, the 21st century workforce, or the armed forces; to establish or improve a statewide P-16 education data system</t>
  </si>
  <si>
    <t>Sec. 5004(f)(1)</t>
  </si>
  <si>
    <t>Nuclear science program expansion grants for institutions of higher education</t>
  </si>
  <si>
    <t>Sec. 5004(f)(2)</t>
  </si>
  <si>
    <t>Nuclear science competitiveness grants for institutions of higher education</t>
  </si>
  <si>
    <t>Hydrocarbon systems science program expansion grants for institutions of higher education</t>
  </si>
  <si>
    <t>Sec. 5006(h)</t>
  </si>
  <si>
    <t>Department of Energy early career awards for science, engineering, and mathematics researchers</t>
  </si>
  <si>
    <t>Sec. 5009</t>
  </si>
  <si>
    <t>Protecting America's Competitive Edge (PACE) graduate fellowship program</t>
  </si>
  <si>
    <t>Sec. 5011</t>
  </si>
  <si>
    <t>Distinguished scientist program</t>
  </si>
  <si>
    <t>Sec. 551</t>
  </si>
  <si>
    <t>To the Director of the National Science Foundation for a STEM (science, technology, engineering, and mathematics) training grant program</t>
  </si>
  <si>
    <t>For loan guarantees for innovative technologies in manufacturing</t>
  </si>
  <si>
    <t>Frank Melville Supportive Housing Investment Act of 2010</t>
  </si>
  <si>
    <t>Supportive housing for persons with disabilities</t>
  </si>
  <si>
    <t>Ike Skelton National Defense Authorization Act for Fiscal Year 2011</t>
  </si>
  <si>
    <t>Sec. 3502</t>
  </si>
  <si>
    <t>Maritime security</t>
  </si>
  <si>
    <t>House Committee on Armed Services</t>
  </si>
  <si>
    <t>Senate Committee on Armed Services</t>
  </si>
  <si>
    <t>Small Business Additional Temporary Extension Act of 2011</t>
  </si>
  <si>
    <t>For administrative expenses, salaries and expenses, and disaster loan account of the Small Business Administration</t>
  </si>
  <si>
    <t>Small Business Development Center Program</t>
  </si>
  <si>
    <t>Paul Coverdell drug-free workplace demonstration program</t>
  </si>
  <si>
    <t>Technical assistance to small businesses for establishing drug-free workplaces</t>
  </si>
  <si>
    <t>Native American Outreach grants</t>
  </si>
  <si>
    <t>Hubzone</t>
  </si>
  <si>
    <t>Veterans Health Care Facilities Capital Improvement Act of 2011</t>
  </si>
  <si>
    <t>Sec. 604(e)(3)</t>
  </si>
  <si>
    <t>Grants program to train and provide technical assistance to participating eligible entities in the planning, development, and provision of supportive services to very-low-income veteran families occupying permanent housing</t>
  </si>
  <si>
    <t>VOW to Hire Heroes Act of 2011</t>
  </si>
  <si>
    <t>Grants for collaborative training, mentoring, and placement of veterans</t>
  </si>
  <si>
    <t>FAA Modernization and Reform Act of 2012</t>
  </si>
  <si>
    <t>Federal Aviation Administration center for excellence for applied research and training in the use of advanced materials in transport aircraft</t>
  </si>
  <si>
    <t>Moving Ahead for Progress in the 21st Century Act</t>
  </si>
  <si>
    <t>Sec. 100216</t>
  </si>
  <si>
    <t>National flood mapping program</t>
  </si>
  <si>
    <t>An act to amend the Federal Water Pollution Control Act to reauthorize the Lake Pontchartrain Basin Restoration Program, to designate certain Federal buildings, and for other purposes</t>
  </si>
  <si>
    <t>For the Lake Pontchartrain Basin Restoration Program within the Environmental Protection Agency</t>
  </si>
  <si>
    <t>PREEMIE Act Reauthorization</t>
  </si>
  <si>
    <t>Sec. 103(b)(2)</t>
  </si>
  <si>
    <t>Public and health care provider education: grants to public or private nonprofit entities for demonstration projects to improve the provision of information on prematurity to health professionals, other health care providers, and the public, and to improve the treatment and outcomes for babies born preterm</t>
  </si>
  <si>
    <t>Sec. 301(a)(1)</t>
  </si>
  <si>
    <t>Chimpanzees under care of the National Institutes of Health: care, maintenance, and transportation of all chimpanzees otherwise under the ownership or control of the National Institutes of Health</t>
  </si>
  <si>
    <t>National Defense Authorization Act for Fiscal Year 2014</t>
  </si>
  <si>
    <t>Sec. 313</t>
  </si>
  <si>
    <t>Department of Defense: programs for conservation and recreation on military installations under sec. 108 of the Sikes Act (16 U.S.C. 670f(b), division A; title III; subtitle B, Energy and Environment; sec. 313, Reauthorization of Sikes Act)</t>
  </si>
  <si>
    <t>Subcommittee on Defense</t>
  </si>
  <si>
    <t>Department of the Interior: programs for conservation and recreation on military installations under sec. 108 of the Sikes Act</t>
  </si>
  <si>
    <t>Support for the Sovereignty, Integrity, Democracy, and Economic Stability of Ukraine Act of 2014</t>
  </si>
  <si>
    <t>To improve democratic governance, foster unity, support governance, expand free media, and diversify the economy in Ukraine; to support efforts in Ukraine to enhance the empowerment of women; and to support political and economic reform initiatives by states in central and eastern Europe</t>
  </si>
  <si>
    <t>To enhance security cooperation among the United States and countries of the European Union and countries of Central and Eastern Europe, to provide security assistance, including defense articles and services, and to support reform for the military, intelligence, and security service</t>
  </si>
  <si>
    <t>United States International Programming to Ukraine and neighboring regions</t>
  </si>
  <si>
    <t>Sec. 1(d)</t>
  </si>
  <si>
    <t>To carry out programming in the Ukrainian, Balkan, Russian, and Tatar languages for Radio Free Europe/Radio Liberty, Incorporated, and the Voice of America</t>
  </si>
  <si>
    <t>Water Resources Reform and Development Act of 2014</t>
  </si>
  <si>
    <t>Sec. 1043(a)</t>
  </si>
  <si>
    <t>Pilot program to evaluate the cost-effectiveness and project delivery efficiency of allowing non-Federal interests to carry out feasibility studies for flood risk management, hurricane and storm damage reduction, aquatic ecosystem restoration, and coastal harbor and channel and inland navigation</t>
  </si>
  <si>
    <t>Workforce Innovation and Opportunity Act</t>
  </si>
  <si>
    <t>Sec. 136(a)</t>
  </si>
  <si>
    <t>Youth workforce investment activities</t>
  </si>
  <si>
    <t>Sec. 136(b)</t>
  </si>
  <si>
    <t>Adult employment and training activities</t>
  </si>
  <si>
    <t>Sec. 136(c)</t>
  </si>
  <si>
    <t>Dislocated worker employment and training activities</t>
  </si>
  <si>
    <t>Sec. 162</t>
  </si>
  <si>
    <t>To maintain a National Job Corps program</t>
  </si>
  <si>
    <t>Sec. 166(k)</t>
  </si>
  <si>
    <t>To improve job training and workforce investment activities for unique populations in Alaska and Hawaii</t>
  </si>
  <si>
    <t>Sec. 171(i)</t>
  </si>
  <si>
    <t>Through the Youthbuild program provide disadvantaged youth with opportunities for employment, education, leadership development, and training through rehabilitation or construction of housing for low-income families and homeless individuals, and of public facilities</t>
  </si>
  <si>
    <t>Sec. 172(b)</t>
  </si>
  <si>
    <t>To provide workforce investment activities for migrant and seasonal farmworkers (including youth workforce investment activities)and to provide related assistance for eligible migrant and seasonal farmworkers</t>
  </si>
  <si>
    <t>Sec. 172(c)</t>
  </si>
  <si>
    <t>To provide, coordinate, and support the development of appropriate training, technical assistance, staff development, and other activities</t>
  </si>
  <si>
    <t>Sec. 172(d)</t>
  </si>
  <si>
    <t>To provide for the continuing evaluation of the programs and activities under Title I (Workforce Development Activities), for research into solutions of employment and training problems, studies on net impact of and best practices of programs, services and activities carried out</t>
  </si>
  <si>
    <t>For adult education and literacy activities to include language assistance to immigrants and other individuals that who are English language learners</t>
  </si>
  <si>
    <t>Sec. 308(g)</t>
  </si>
  <si>
    <t>The development, maintenance, and continuous improvement of a nationwide workforce and labor market information system</t>
  </si>
  <si>
    <t>Sec. 411(b)</t>
  </si>
  <si>
    <t>To assist States in operating statewide comprehensive, coordinated, effective, efficient, and accountable programs of vocational rehabilitation, appropriation to increase by CPI each year</t>
  </si>
  <si>
    <t>For grants to states to establish and carry out client assistance programs to provide assistance in informing and advising all clients and client applicants of all available benefits provided for vocational rehabilitation and other rehabilitation services</t>
  </si>
  <si>
    <t>Sec. 432</t>
  </si>
  <si>
    <t>To provide for research, demonstration projects, training, technical assistance, and related activities to maximize the full inclusion and integration into society, employment, independent living, family support, and economic and social self-sufficiency of individuals with disabilities of all ages, with particular emphasis on improving the effectiveness of services provided for vocational rehabilitation and other rehabilitation services</t>
  </si>
  <si>
    <t>Sec. 441(5)</t>
  </si>
  <si>
    <t>Youthbuild Program; grants and contracts to provide academic training to ensure that skilled personnel are available to provide rehabilitation services to individuals with disabilities, to provide training to maintain and upgrade basic skills and knowledge of personnel employed to provide state-of-the-art service delivery and rehabilitation technology services, to conduct special projects and demonstrations, including related research and evaluation, and to provide training and information to individuals with disabilities and the individuals' representatives</t>
  </si>
  <si>
    <t>Demonstration projects to increase client choice in the rehabilitation process, special demonstration programs that expand and improve the provision of rehabilitation and other services, including related research and evaluation activities, parent information and training programs, and braille training programs</t>
  </si>
  <si>
    <t>Sec. 453</t>
  </si>
  <si>
    <t>National Council on Disability</t>
  </si>
  <si>
    <t>Sec. 456</t>
  </si>
  <si>
    <t>Architectural and Transportation Barriers Compliance Board (Access Board)</t>
  </si>
  <si>
    <t>Sec. 457</t>
  </si>
  <si>
    <t>For the protection and advocacy of individual rights support for a system in each State to protect the legal and human rights of individuals with disabilities</t>
  </si>
  <si>
    <t>Sec. 461</t>
  </si>
  <si>
    <t>To assist States in developing collaborative programs to provide supported employment services for individuals with the most significant disabilities, including youth with the most significant disabilities</t>
  </si>
  <si>
    <t>Sec. 476(e)</t>
  </si>
  <si>
    <t>To support state Independent Living Councils; to provide independent living services to individuals with significant disabilities, to expand and improve independent living services, to support the operation of centers for independent living, to support activities to increase the capacities of public or nonprofit agencies , to conduct studies and analyses, to train individuals with disabilities and individuals providing services to individuals with disabilities and other persons regarding the independent living philosophy, and to provide outreach to populations that are unserved or underserved</t>
  </si>
  <si>
    <t>Sec. 484</t>
  </si>
  <si>
    <t>Grants to States for providing, expanding, and improving the provision of independent living services; to provide financial assistance to develop and support statewide networks of centers for independent living; and to provide financial assistance to States for improving working relationships among State independent living rehabilitation service programs, centers for independent living, and Statewide Independent Living Councils</t>
  </si>
  <si>
    <t>Sec. 488</t>
  </si>
  <si>
    <t>Grants to provide independent living services for older individuals who are blind</t>
  </si>
  <si>
    <t>Sec. 172(a)</t>
  </si>
  <si>
    <t>To support employment and training activities for Indian, Alaska Native, and Native Hawaiian individuals other than activities authorized by sec. 166(k)</t>
  </si>
  <si>
    <t>Sean and David Goldman International Child Abduction Prevention and Return Act of 2014</t>
  </si>
  <si>
    <t>For training on the effective handling of parental abduction cases for the judicial and administrative authorities in countries with a high number of unresolved abduction cases or countries that have a pattern of noncompliance with the Hague Abduction Convention; provided by the Secretary of State</t>
  </si>
  <si>
    <t>Near East and South Central Asia Religious Freedom Act of 2014</t>
  </si>
  <si>
    <t>For the hiring of staff, the conduct of investigations, and necessary travel for the Special Envoy to Promote Religious Freedom of Religious Minorities in the Near East and South Central Asia, from within funds provided for the account Diplomatic and Consular Program</t>
  </si>
  <si>
    <t>Child Care and Development Block Grant Act of 2014</t>
  </si>
  <si>
    <t>Child care and development block grants</t>
  </si>
  <si>
    <t>The Newborn Screening Saves Lives Reauthorization Act of 2014</t>
  </si>
  <si>
    <t>Sec. 42</t>
  </si>
  <si>
    <t>Grants to improve and enhance the ability of public health agencies to provide screening for heritable disorders in newborns and children, assistance to health care professionals and newborn screening laboratory personnel in newborn screening, counseling and training, grants for demonstration programs to evaluate the effectiveness, including with respect to timeliness, of screening, follow-up, counseling, or health care services in reducing the morbidity and mortality caused by heritable disorders in newborns and children, for the operation of Advisory Committee on Heritable Disorders in Newborns and Children; the operation of a central clearinghouse of current information on educational and family support and services</t>
  </si>
  <si>
    <t>Grants to provide quality assurance and surveillance for laboratories involved in screening and to provide appropriate quality and test materials through the Centers for Disease Control and Prevention</t>
  </si>
  <si>
    <t>Ukraine Freedom Support Act of 2014</t>
  </si>
  <si>
    <t>Defense articles, defense services, and training to the government of Ukraine through the Secretary of State</t>
  </si>
  <si>
    <t>Sec. 7(c)(2)</t>
  </si>
  <si>
    <t>Development of medium- and long-term plans to increase energy production and efficiency to increase security and reduce dependence on natural gas from the Russian Federation by the Secretary of State and in collaboration with the Secretary of Energy and the Administrator of the United States Agency for International Development</t>
  </si>
  <si>
    <t>Sec. 7(d)</t>
  </si>
  <si>
    <t>Assistance to a democratic civil society in Ukraine, either directly or through nongovernmental or international organizations, including support for independent media outlets, accountability of institutions, and support for democratic organizing and election monitoring</t>
  </si>
  <si>
    <t>Expansion of broadcasting in countries of the former Soviet Union</t>
  </si>
  <si>
    <t>Support for Russian democracy and civil society organizations either directly or through nongovernmental or international organizations</t>
  </si>
  <si>
    <t>An act to enact title 54, United States Code, "National Park Service and Related Programs," as positive law</t>
  </si>
  <si>
    <t>Sec. 308501(e)</t>
  </si>
  <si>
    <t>Women's rights national historic parks, National Women's Rights History Project National Registry: grants to state historic preservation offices to assist in surveying, evaluating, and nominating properties related to the history of women's rights for the National Register of Historic Places</t>
  </si>
  <si>
    <t>Sec. 308502(d)</t>
  </si>
  <si>
    <t>Women's rights national historic parks, National Women's Rights History Project Partnerships: grants for the development of a network to provide educational programs including historic preservation</t>
  </si>
  <si>
    <t>National Defense Authorization Act for Fiscal Year 2015</t>
  </si>
  <si>
    <t>Div. A, sec. 1079</t>
  </si>
  <si>
    <t>Veterans Housing Rehabilitation and Modification Pilot Program</t>
  </si>
  <si>
    <t>Trade Preferences Extension Act of 2015</t>
  </si>
  <si>
    <t>Sec. 403(d)</t>
  </si>
  <si>
    <t>Trade adjustment assistance for workers through the Department of Labor</t>
  </si>
  <si>
    <t>Sec. 403(d)(2)</t>
  </si>
  <si>
    <t>Trade adjustment assistance for firms through the Department of Commerce</t>
  </si>
  <si>
    <t>Sec. 403(d)(3)</t>
  </si>
  <si>
    <t>Trade adjustment assistance for farmers through the Department of Agriculture</t>
  </si>
  <si>
    <t>National Windstorm Impact Reduction Act Reauthorization of 2015</t>
  </si>
  <si>
    <t>To the National Oceanic and Atmospheric Administration for the National Windstorm Impact Reduction Act</t>
  </si>
  <si>
    <t>To the National Science Foundation for the National Windstorm Impact Reduction Act</t>
  </si>
  <si>
    <t>To the National Institute of Standards and Technology for the National Windstorm Impact Reduction Act</t>
  </si>
  <si>
    <t>To the Federal Emergency Management Agency for the National Windstorm Impact Reduction Act</t>
  </si>
  <si>
    <t>Agriculture Reauthorizations Act of 2015</t>
  </si>
  <si>
    <t>Sec. 201(b)</t>
  </si>
  <si>
    <t>For the Secretary of Agriculture to match, on a one-for-one basis, private contributions made to the National Forest Foundation</t>
  </si>
  <si>
    <t>Bipartisan Budget Act of 2015</t>
  </si>
  <si>
    <t>Strategic Petroleum Reserve modernization program</t>
  </si>
  <si>
    <t>Illegal, Unreported, and Unregulated Fishing Enforcement Act of 2015</t>
  </si>
  <si>
    <t>Sec. 101(h)</t>
  </si>
  <si>
    <t>To the Secretary of Commerce for actions to improve the effectiveness of international fishery management organizations and for identification of nations</t>
  </si>
  <si>
    <t>Every Student Succeeds Act</t>
  </si>
  <si>
    <t>Sec. 1002(a)</t>
  </si>
  <si>
    <t>Improving the academic achievement of the disadvantaged: basic, concentration and targeted grants to local education agencies</t>
  </si>
  <si>
    <t>Sec. 1002(b)</t>
  </si>
  <si>
    <t>Improving the academic achievement of the disadvantaged: state assessment grants including innovative assessment and accountability demonstration projects</t>
  </si>
  <si>
    <t>Sec. 1002(c)</t>
  </si>
  <si>
    <t>Improving the academic achievement of the disadvantaged: education of migratory children</t>
  </si>
  <si>
    <t>Sec. 1002(d)</t>
  </si>
  <si>
    <t>Improving the academic achievement of the disadvantaged: prevention and intervention programs for the children and youth who are neglected, delinquent, or at-risk</t>
  </si>
  <si>
    <t>Sec. 1002(e)</t>
  </si>
  <si>
    <t>Improving the academic achievement of the disadvantaged: for evaluation activities related to title I under sec. 8601 of this act</t>
  </si>
  <si>
    <t>Sec. 2003(a)</t>
  </si>
  <si>
    <t>Preparing, training and recruiting high quality teachers, principals, and school leaders: formula grants to states and subgrants to local educational agencies to support effective instruction (Supporting Effective Instruction State Grants)</t>
  </si>
  <si>
    <t>Sec. 2003</t>
  </si>
  <si>
    <t>National activities: preparing, training and recruiting high quality teachers, principals, and school leaders: teacher and school leader incentive fund grants, comprehensive literacy state development grants, grants for establishment of presidential and congressional academies for American history and civics, and programs of national significance to include educator development, school leader recruitment and support, technical assistance and evaluation, and STEM master teacher corps</t>
  </si>
  <si>
    <t>Sec. 3002</t>
  </si>
  <si>
    <t>Language instruction for English learners and immigrant students, including the National Professional Development Project to improve instruction of English</t>
  </si>
  <si>
    <t>Sec. 4112</t>
  </si>
  <si>
    <t>21st Century Schools: state formula grants and subgrants to local educational agencies for student support and academic enrichment grants to local educational agencies that are to include activities to support well-rounded educational activities, activities to support safe and healthy students, and activities to support the effective use of technology</t>
  </si>
  <si>
    <t>Sec. 4206</t>
  </si>
  <si>
    <t>21st Century Schools: 21st Century Community Learning Centers</t>
  </si>
  <si>
    <t>Sec. 4311</t>
  </si>
  <si>
    <t>21st Century Schools: expanding opportunity through quality charter schools through grants to support high quality charter schools, facilities financing assistance and other national activities</t>
  </si>
  <si>
    <t>Sec. 4401</t>
  </si>
  <si>
    <t>21st Century Schools: magnet schools assistance</t>
  </si>
  <si>
    <t>Sec. 4506</t>
  </si>
  <si>
    <t>21st Century Schools: grants for family engagement in education programs</t>
  </si>
  <si>
    <t>Sec. 4601</t>
  </si>
  <si>
    <t>21st Century Schools: national activities to include grants for education innovation and research, grants for community support for school success, national activities for school safety including Project SERV, academic enrichment activities including assistance for arts education, and ready to learn programming and support for high-ability learners and learning</t>
  </si>
  <si>
    <t>Sec. 5003</t>
  </si>
  <si>
    <t>Flexibility and Accountability: Rural Education Initiative that includes the Small Rural School Achievement Program and the Rural and Low–Income School Program</t>
  </si>
  <si>
    <t>Sec. 6002</t>
  </si>
  <si>
    <t>Indian education: formula grants to local educational agencies and tribes</t>
  </si>
  <si>
    <t>Indian education: Special Programs and Projects to Improve Educational Opportunities for Indian Children</t>
  </si>
  <si>
    <t>Indian education: national activities to include research, grants to tribes for education administrative planning, development and coordination, and Native American and Alaska Native language immersion schools and programs</t>
  </si>
  <si>
    <t>Sec. 6003</t>
  </si>
  <si>
    <t>Native Hawaiian Education: grants to Native Hawaiian educational organizations, Native Hawaiian community-based organizations, public and private nonprofit organizations, agencies, and institutions with experience in developing or operating Native Hawaiian programs or programs of instruction in the Native Hawaiian language, charter schools and consortia of the organizations, agencies, and institutions and shall include a grant of $500,000 in each year to the Native Hawaiian Education Council</t>
  </si>
  <si>
    <t>Sec. 6004</t>
  </si>
  <si>
    <t>Alaska Native Education: grants and contracts to Alaska Native organizations or entities located in Alaska predominately governed by Alaska Natives</t>
  </si>
  <si>
    <t>Sec. 7013</t>
  </si>
  <si>
    <t>Impact Aid: payments for Federal acquisition of real property</t>
  </si>
  <si>
    <t>Impact Aid: assistance to local educational agencies that benefit dependents of members of the Armed Forces and Department of Defense civilian employees</t>
  </si>
  <si>
    <t>Impact Aid: aid for children with severe disabilities</t>
  </si>
  <si>
    <t>Impact Aid: payments to local educational agencies for construction</t>
  </si>
  <si>
    <t>Impact Aid: assistance for school facilities</t>
  </si>
  <si>
    <t>Sec. 9106</t>
  </si>
  <si>
    <t>Education for the Homeless: grants to states and local educational agencies for homeless children and youth</t>
  </si>
  <si>
    <t>Sec. 9212(k)</t>
  </si>
  <si>
    <t>Preschool development grants: grants awarded jointly by the Secretaries of Health and Human Services and Education for statewide needs assessment, strategic planning, maximizing parental choice, sharing best practices, and improving overall quality of early childhood education programs, including professional development for providers</t>
  </si>
  <si>
    <t>Surface Transportation Board Reauthorization Act of 2015</t>
  </si>
  <si>
    <t>Surface Transportation Board</t>
  </si>
  <si>
    <t>Consolidated Appropriations Act, 2016</t>
  </si>
  <si>
    <t>Div. O, sec. 908</t>
  </si>
  <si>
    <t>National Oceans and Coastal Security Fund</t>
  </si>
  <si>
    <t>READ Act</t>
  </si>
  <si>
    <t>For the National Science Foundation to research the science of learning disabilities, including dyslexia</t>
  </si>
  <si>
    <t>Trade Facilitation and Trade Enforcement Act of 2015</t>
  </si>
  <si>
    <t>Sec. 503</t>
  </si>
  <si>
    <t>State Trade Expansion Program</t>
  </si>
  <si>
    <t>Sec. 106(a)(1)</t>
  </si>
  <si>
    <t>To complete the development, implementation and establishment of the Automated Commercial Environment computer system for the processing of merchandise that is entered or released and for other purposes related to the functions of the Department of Homeland Security</t>
  </si>
  <si>
    <t>Integrated Public Alert and Warning System Modernization Act of 2015</t>
  </si>
  <si>
    <t>Sec. 2(b)(8)</t>
  </si>
  <si>
    <t>For the Integrated Public Alert and Warning System; to provide timely and effective warnings regarding natural disasters, acts of terrorism, and other man-made disasters or threats to public safety</t>
  </si>
  <si>
    <t>Fallen Heroes Flag Act of 2016</t>
  </si>
  <si>
    <t>To provide for a Capitol-flown flag with no cost to family for firefighters, law enforcement, members of rescue squads or ambulance crews, and public safety officers who are killed in the line of duty</t>
  </si>
  <si>
    <t>Comprehensive Addiction and Recovery Act of 2016</t>
  </si>
  <si>
    <t>State demonstration grants for an integrated comprehensive opioid abuse response initiative awarded by the Secretary of Health and Human Services</t>
  </si>
  <si>
    <t>Library of Congress Sound Recording and Film Preservation Programs Reauthorization Act of 2016</t>
  </si>
  <si>
    <t>National Recording Preservation Board: authorizes $250 thousand for each of fiscal years 2009 through 2026</t>
  </si>
  <si>
    <t>National Recording Preservation Foundation: authorizes such sums as are necessary for each of the fiscal years 2009 through 2026</t>
  </si>
  <si>
    <t>Sec. 3(a)</t>
  </si>
  <si>
    <t>National Film Preservation Board: authorizes $250 thousand for each of the fiscal years 2009 through 2026</t>
  </si>
  <si>
    <t>Sec. 3(b)</t>
  </si>
  <si>
    <t>National Film Preservation Foundation: authorizes $530 thousand for 2009, $750 thousand for each of the fiscal years 2010 and 2011, and $1.0 million for each of the fiscal years 2012 through 2026</t>
  </si>
  <si>
    <t>21st Century Cures Act</t>
  </si>
  <si>
    <t>Sec. 1001(b)(4)</t>
  </si>
  <si>
    <t>NIH Innovation Projects - Precision Medicine Initiative</t>
  </si>
  <si>
    <t>NIH Innovation Projects - Brain Research through Advancing Innovative Neurotechnologies Initiative</t>
  </si>
  <si>
    <t>NIH Innovation Projects - Beau Biden cancer moonshot</t>
  </si>
  <si>
    <t>NIH Innovation Projects - regenerative medicine initiative in coordination with the Food and Drug Administration</t>
  </si>
  <si>
    <t>Sec. 1002(b)(3)</t>
  </si>
  <si>
    <t>FDA Innovation Project</t>
  </si>
  <si>
    <t>Sec. 2001</t>
  </si>
  <si>
    <t>National Institutes of Health</t>
  </si>
  <si>
    <t>Sec. 2061</t>
  </si>
  <si>
    <t>Surveillance of neurological diseases: through the Centers for Disease Control and Prevention ability to track the epidemiology of neurological disease and to establish a National Neurological Conditions Surveillance System</t>
  </si>
  <si>
    <t>Sec. 7001</t>
  </si>
  <si>
    <t>National Mental Health and Substance Abuse Policy Laboratory: expansion, replication, or scaling of evidence-based programs for screening, early diagnosis, intervention, and treatment and applying and integrating such programs ($7,000,000 over the period 2018-2020)</t>
  </si>
  <si>
    <t>Sec. 7003</t>
  </si>
  <si>
    <t>Priority mental health needs of regional and national significance: grants through the Substance Abuse and Mental Health Administration that address priority mental health needs of regional and national significance through the provision of or through assistance for knowledge development and application projects for prevention, treatment, and rehabilitation, and the conduct or support of evaluations of such projects, systems change grants including statewide family network grants and client-oriented and consumer run self-help activities</t>
  </si>
  <si>
    <t>Sec. 9008</t>
  </si>
  <si>
    <t>Suicide prevention technical assistance center: Establish a research, training, and technical assistance resource center through the Assistant Secretary</t>
  </si>
  <si>
    <t>Sec. 9016</t>
  </si>
  <si>
    <t>Interagency Coordinating Committee on the Prevention of Underage Drinking; includes the annual federal report and the annual state report</t>
  </si>
  <si>
    <t>Community-based coalition enhancement grants to design, test, evaluate, and disseminate effective strategies to maximize the effectiveness of communitywide approaches to preventing and reducing underage drinking</t>
  </si>
  <si>
    <t>Collection of data; conduct or support additional research that is not duplicative of research currently being conducted or supported by Department of Health and Human Services on underage drinking</t>
  </si>
  <si>
    <t>Sec. 9032</t>
  </si>
  <si>
    <t>Interagency working group on college mental health: establishment of a College Campus Task Force to discuss mental and behavioral health concerns on college campuses of institutions of higher education - $1 million over the period</t>
  </si>
  <si>
    <t>Sec. 11004</t>
  </si>
  <si>
    <t>Development and dissemination of model training programs for the healthcare community on the proper and permissible practices under the Health Insurance Portability and Accountability Act of 1996</t>
  </si>
  <si>
    <t>Jeff Miller and Richard Blumenthal Veterans Health Care and Benefits Improvement Act of 2016</t>
  </si>
  <si>
    <t>From the Construction, Major Projects account: seismic, life safety, and utilities upgrades in Reno, Nevada ($213.8 million) and seismic corrections to the mental health and community living center in Long Beach, California ($317.3 million)</t>
  </si>
  <si>
    <t>Water Infrastructure Improvements for the Nation Act</t>
  </si>
  <si>
    <t>Technical assistance to public water systems to facilitate use of innovative water technologies</t>
  </si>
  <si>
    <t>Sec. 2203(d)</t>
  </si>
  <si>
    <t>Grants to establish a lead exposure registry to collect data on the lead exposure of residents of a City on a voluntary basis</t>
  </si>
  <si>
    <t>To carry out the functions of the advisory committee within the Agency for Toxic Substances and Disease Registry</t>
  </si>
  <si>
    <t>Sec. 3101(b)</t>
  </si>
  <si>
    <t>High-Hazard Indian Dam Safety Deferred Maintenance Fund: To carry out maintenance, repair, and replacement activities for selected Indian dams</t>
  </si>
  <si>
    <t>Low-Hazard Indian Dam Safety Deferred Maintenance Fund: To carry out maintenance, repair, and replacement activities for selected Indian dams</t>
  </si>
  <si>
    <t>To provide funds to the Indian Irrigation Fund to carry out maintenance, repair, and replacement activities for selected Indian irrigation projects</t>
  </si>
  <si>
    <t>Sec. 3603(e)</t>
  </si>
  <si>
    <t>For restoration programs and activities of the Lake Tahoe Basin</t>
  </si>
  <si>
    <t>Sec. 4010(b)(7)</t>
  </si>
  <si>
    <t>To reauthorize through fiscal year 2021 the Fisheries Restoration and Irrigation Mitigation Program within the Department of the Interior</t>
  </si>
  <si>
    <t>Sec. 4010(c)(1)</t>
  </si>
  <si>
    <t>For the acceleration and completion of water infrastructure and conveyance facilities necessary to achieve full water deliveries to Central Valley wildlife refuges and habitat areas</t>
  </si>
  <si>
    <t>Sec. 1157</t>
  </si>
  <si>
    <t>To complete projects carried out by non-Federal entities for water-related environmental infrastructure and resource protection and development and originally authorized in sec.219 of the Water Resources Development Act of 1992 (Public Law 102–580), $50M total is authorized to be appropriated from 2017 through 2021</t>
  </si>
  <si>
    <t>Sec. 5004(d)(3)</t>
  </si>
  <si>
    <t>To pay claims made by states, Indian tribes, or local governments for eligible response costs related to the Gold King Mine release</t>
  </si>
  <si>
    <t>Sec. 5006</t>
  </si>
  <si>
    <t>To carry out a program within the Federal Emergency Management Agency to provide technical, planning, design, and construction assistance in the form of grants to non-Federal sponsors for rehabilitation of eligible high hazard potential dams</t>
  </si>
  <si>
    <t>Sec. 5013(b)</t>
  </si>
  <si>
    <t>Technical assistance for estuary habitat restoration projects - Army</t>
  </si>
  <si>
    <t>Technical assistance for estuary habitat restoration projects - FWS</t>
  </si>
  <si>
    <t>Technical assistance for estuary habitat restoration projects - NOAA</t>
  </si>
  <si>
    <t>Technical assistance for estuary habitat restoration projects - EPA</t>
  </si>
  <si>
    <t>Technical assistance for estuary habitat restoration projects - USDA</t>
  </si>
  <si>
    <t>Acquisition, maintenance, and management of monitoring data on estuary restoration - NOAA</t>
  </si>
  <si>
    <t>Grants and contracts to conduct, encourage, and assist in the financing of research to develop desalination processes</t>
  </si>
  <si>
    <t>Justice for All Reauthorization Act of 2016</t>
  </si>
  <si>
    <t>Paul Coverdell Forensic Sciences Improvement grants</t>
  </si>
  <si>
    <t>Kirk Bloodsworth Post-Conviction DNA Testing Grant Program</t>
  </si>
  <si>
    <t>Technical assistance for Edward Byrne Memorial Justice Assistance Grant Applications</t>
  </si>
  <si>
    <t>Emmett Till Unsolved Civil Rights Crimes Reauthorization Act of 2016</t>
  </si>
  <si>
    <t>Investigation of unresolved Civil Rights Crimes</t>
  </si>
  <si>
    <t>Sec. 2(4)(b)</t>
  </si>
  <si>
    <t>Grants to state and local law enforcement to pursue crimes occurring before 1970</t>
  </si>
  <si>
    <t>Sec. 2(5)</t>
  </si>
  <si>
    <t>For the Attorney General to pursue violations of criminal civil rights statutes that occurred before 1980</t>
  </si>
  <si>
    <t>Ensuring Access to Pacific Fisheries Act</t>
  </si>
  <si>
    <t>Sec. 110</t>
  </si>
  <si>
    <t>North Pacific Fisheries Convention Implementation</t>
  </si>
  <si>
    <t>Implementation of the Convention on the Conservation and Management of High Seas Fishery Resources in the South Pacific Ocean</t>
  </si>
  <si>
    <t>Northwest Atlantic Fisheries Convention</t>
  </si>
  <si>
    <t>National Defense Authorization Act of 2017</t>
  </si>
  <si>
    <t>Sec. 1298</t>
  </si>
  <si>
    <t>Efforts to End Modern Slavery</t>
  </si>
  <si>
    <t>National Aeronautics and Space Administration Transition Authorization Act of 2017</t>
  </si>
  <si>
    <t>Sec. 101(1)</t>
  </si>
  <si>
    <t>Exploration</t>
  </si>
  <si>
    <t>Sec. 101(2)</t>
  </si>
  <si>
    <t>Space operations</t>
  </si>
  <si>
    <t>Sec. 101(3)</t>
  </si>
  <si>
    <t>Science</t>
  </si>
  <si>
    <t>Aeronautics</t>
  </si>
  <si>
    <t>Sec. 101(6)</t>
  </si>
  <si>
    <t>Education</t>
  </si>
  <si>
    <t>Sec. 101(8)</t>
  </si>
  <si>
    <t>Construction and environmental compliance and restoration</t>
  </si>
  <si>
    <t>Sec. 101(9)</t>
  </si>
  <si>
    <t>Inspector General</t>
  </si>
  <si>
    <t>Sec. 101(5)</t>
  </si>
  <si>
    <t>Space Technology</t>
  </si>
  <si>
    <t>Sec. 101(7)</t>
  </si>
  <si>
    <t>Safety, Security, and Mission Services</t>
  </si>
  <si>
    <t>Weather Research and Forecasting Innovation Act of 2017</t>
  </si>
  <si>
    <t>Sec. 510</t>
  </si>
  <si>
    <t>Tsunami warning and education under the National Oceanic and Atmospheric Administration</t>
  </si>
  <si>
    <t>Consolidated Appropriations Act, 2017</t>
  </si>
  <si>
    <t>Div. K, sec. 226(1)</t>
  </si>
  <si>
    <t>Demolition, site revitalization, replacement housing, and tenant-based assistance grants for projects</t>
  </si>
  <si>
    <t>Div. H, sec. 527(1)</t>
  </si>
  <si>
    <t>Coordination with the Special Olympics for activities to promote the expansion of the Special Olympics and to design and implement Special Olympics education programs</t>
  </si>
  <si>
    <t>Div. H, sec. 527(2)</t>
  </si>
  <si>
    <t>Grants from Department of State to increase participation in international activities of the Special Olympics for individuals with intellectual disabilities</t>
  </si>
  <si>
    <t>Div. H, sec. 527(3)</t>
  </si>
  <si>
    <t>Grants from Department of Health and Human Services to the Special Olympics for implementation of on-site health assessments, screening for health problems, health education, data collection, and referrals to direct health care services</t>
  </si>
  <si>
    <t>Further Consolidated Appropriations Act, 2020</t>
  </si>
  <si>
    <t>Sec. 257(d)</t>
  </si>
  <si>
    <t>To develop and carry out strategies to promote energy security in the Ukraine</t>
  </si>
  <si>
    <t>Nationwide toll-free number to provide access to a poison control center, coordinated by the Health Resources and Services Administration</t>
  </si>
  <si>
    <t>Sec. 254</t>
  </si>
  <si>
    <t>Countering Russian Influence Fund for coordinating aid and assistance across Europe and Eurasia</t>
  </si>
  <si>
    <t>Harry W. Colmery Veterans Educational Assistance Act of 2017</t>
  </si>
  <si>
    <t>Improvement of information technology of the Veterans Benefits Administration for processing of educational assistance claims</t>
  </si>
  <si>
    <t>Early Hearing Detection and Intervention Act of 2017</t>
  </si>
  <si>
    <t>Technical assistance, data management, and applied research by the National Institute on Deafness and Other Communication Disorders on hearing loss screening, evaluation, diagnosis and intervention programs</t>
  </si>
  <si>
    <t>Strengthening State and Local Cyber Crime Fighting Act of 2017</t>
  </si>
  <si>
    <t>Sec. 3(b)(1)</t>
  </si>
  <si>
    <t>National White Collar Crime Control</t>
  </si>
  <si>
    <t>Sec. 3(b)(2)</t>
  </si>
  <si>
    <t>Grants to state and local law enforcement agencies for intellectual property theft and infringement crimes (IP-TIC grants)</t>
  </si>
  <si>
    <t>National Defense Authorization Act for Fiscal Year 2018</t>
  </si>
  <si>
    <t>Sec. 1097(n)(1)</t>
  </si>
  <si>
    <t>Office of Special Counsel</t>
  </si>
  <si>
    <t>United States Fire Administration, AFG, and SAFER Program Reauthorization Act of 2017</t>
  </si>
  <si>
    <t>To provide firefighter assistance grants</t>
  </si>
  <si>
    <t>Expanded authority to make grants for adequate fire and emergency response</t>
  </si>
  <si>
    <t>For fire prevention and control and to reduce the Nation's losses caused by fire through better fire prevention and control; supplement existing programs of research, training, and education, and to encourage new and improved programs and activities by State and local governments; establish the United States Fire Administration and the Fire Research Center within the Department of Commerce; and establish an intensified program of research into the treatment of burn and smoke injuries and the rehabilitation of victims of fires within the National Institutes of Health</t>
  </si>
  <si>
    <t>Bipartisan Budget Act of 2018</t>
  </si>
  <si>
    <t>Adoption incentive and legal guardianship payments to states</t>
  </si>
  <si>
    <t>Consolidated Appropriations Act, 2018</t>
  </si>
  <si>
    <t>Div. N, sec. 13</t>
  </si>
  <si>
    <t>Funding to provide grants related to brownfield sites</t>
  </si>
  <si>
    <t>Assistance to states for state response programs</t>
  </si>
  <si>
    <t>Div. G, sec. 121</t>
  </si>
  <si>
    <t>Financial assistance to highland states to preserve and protect high-priority conservation land in the highlands region through land conservation partnership projects</t>
  </si>
  <si>
    <t>Div. P, sec. 101</t>
  </si>
  <si>
    <t>Federal Communications Commission</t>
  </si>
  <si>
    <t>Div. S</t>
  </si>
  <si>
    <t>For a matching grant program for school security, as authorized by the STOP School Violence Act of 2018: $67 million to the director of the Bureau of Justice Assistance and $33 million to director of the Office of Community Oriented Policing Services</t>
  </si>
  <si>
    <t>Div. S, sec. 302</t>
  </si>
  <si>
    <t>Keep Young Athletes Safe</t>
  </si>
  <si>
    <t>Div. S, sec. 604(a)(4)</t>
  </si>
  <si>
    <t>State grant program for criminal justice identification, information, and communication</t>
  </si>
  <si>
    <t>Div. S, sec. 603(b)(2)</t>
  </si>
  <si>
    <t>Grants to states and Indian tribes to establish or improve systems related to the National Instant Criminal Background Check System (NICS)</t>
  </si>
  <si>
    <t>Div. Q, sec. 102</t>
  </si>
  <si>
    <t>For the Attorney General, through the Bureau of Justice Assistance, to administer a grant program to reduce injury and death of missing Americans with dementia and developmental disabilities, also known as the “Missing Americans Alert Program”</t>
  </si>
  <si>
    <t>Ashlynne Mike AMBER Alert in Indian Country Act</t>
  </si>
  <si>
    <t>To carry out a program to provide grants to States and Indian tribes for the development or enhancement of programs and activities for the support of AMBER Alert communication plans, and the integration of tribal AMBER Alert systems into State AMBER Alert systems, including $5 million specifically authorized for the development and implementation of new technologies and efforts to integrate State or regional communication plans with an Indian tribe</t>
  </si>
  <si>
    <t>Keep America’s Refuges Operational Act</t>
  </si>
  <si>
    <t>Reauthorization of volunteer programs and community partnerships; gifts, devices and bequests program; volunteer services program; community partnerships program; refuge education program</t>
  </si>
  <si>
    <t>Project Safe Neighborhoods Grant Program Authorization Act of 2018</t>
  </si>
  <si>
    <t>To foster and improve existing partnerships between Federal, State, and local agencies, including the United States Attorney in each Federal judicial district, entities representing members of the community affected by increased violence, victims’ advocates, and researchers to create safer neighborhoods through sustained reductions in violent crimes</t>
  </si>
  <si>
    <t>Firefighter Cancer Registry Act of 2018</t>
  </si>
  <si>
    <t>Centers for Disease Control: develop and maintain a voluntary registry of firefighters to collect health and occupational information for determining cancer incidence.</t>
  </si>
  <si>
    <t>North Korean Human Rights Reauthorization Act of 2017</t>
  </si>
  <si>
    <t>Funds to increase the availability of information inside North Korea not controlled by the government of North Korea</t>
  </si>
  <si>
    <t>Assistance to support organizations or persons that provide humanitarian assistance to North Koreans who are outside of North Korea without permission of the Government of North Korea</t>
  </si>
  <si>
    <t>To provide grants to entities to undertake research on North Korea’s denial of human rights, including on the political and military chains of command responsible for authorizing and implementing systemic human rights abuses, including at prison camps and detention facilities where political prisoners are held</t>
  </si>
  <si>
    <t>Strengthening Career and Technical Education for the 21st Century Act</t>
  </si>
  <si>
    <t>Through grants to states, territories, Native American Programs and tribally controlled postsecondary institutions the development of the academic knowledge and technical and employability skills of secondary and postsecondary education students who enroll in career and technical education programs and programs of study</t>
  </si>
  <si>
    <t>National activities for collecting and disseminating information on the condition and effectiveness of state and local career and technical education programs, services, and activities; research and evaluation of changes to the act; activities of an advisory panel and grants for innovation and modernization of career and technical education</t>
  </si>
  <si>
    <t>Grants for tribally controlled postsecondary career and technical institutions to provide basic support for the education and training of Indian students to institutions that are not receiving Federal assistance as of the date on which the grant is provided from authority under title I of the Tribally Controlled Colleges and Universities Assistance Act or the Navajo Community College Act.</t>
  </si>
  <si>
    <t>National Defense Authorization Act for Fiscal Year 2019</t>
  </si>
  <si>
    <t>Sec. 1723</t>
  </si>
  <si>
    <t>Committee on Foreign Investment in the United States Fund</t>
  </si>
  <si>
    <t>Children's Hospital GME Support Reauthorization Act of 2018</t>
  </si>
  <si>
    <t>Sec. 340E(f)(v)</t>
  </si>
  <si>
    <t>Payments for direct graduate medical education in children's hospitals with a residency training program</t>
  </si>
  <si>
    <t>Payments for indirect graduate medical education in children's hospitals with a residency training program</t>
  </si>
  <si>
    <t>Energy and Water, Legislative Branch, and Military Construction and Veterans Affairs Appropriations Act, 2019</t>
  </si>
  <si>
    <t>Assiniboine and Sioux Rural Water System funds authorized to the Bureau of Reclamation for planning, design, and construction</t>
  </si>
  <si>
    <t>Planning, design, and construction of the Dry Prairie Rural Water System</t>
  </si>
  <si>
    <t>FAA Reauthorization Act of 2018</t>
  </si>
  <si>
    <t>Airport Improvement Program (AIP)</t>
  </si>
  <si>
    <t>Federal Aviation Administration operations</t>
  </si>
  <si>
    <t>Essential Air Service</t>
  </si>
  <si>
    <t>Air navigation facilities and equipment</t>
  </si>
  <si>
    <t>Federal aviation research, engineering, and development</t>
  </si>
  <si>
    <t>National Transportation Safety Board</t>
  </si>
  <si>
    <t>Sec. 158</t>
  </si>
  <si>
    <t>Supplemental discretionary grants for airport improvement</t>
  </si>
  <si>
    <t>Sec. 356</t>
  </si>
  <si>
    <t>Know Before You Fly educational campaign or similar public informational efforts intended to broaden unmanned aircraft systems safety awareness</t>
  </si>
  <si>
    <t>Sec. 1217(b)</t>
  </si>
  <si>
    <t>For grants to administer the Emergency Management Assistance Compact consented to by the Congress in P.L. 104-321</t>
  </si>
  <si>
    <t>Sec. 1217(c)</t>
  </si>
  <si>
    <t>Emergency Management Performance Grants Program: grants to states to assist state, local, and tribal governments in preparing for all hazards, as authorized by the Robert T. Stafford Disaster Relief and Emergency Assistance Act</t>
  </si>
  <si>
    <t>Sec. 1903</t>
  </si>
  <si>
    <t>For salaries, operations, and maintenance of the Transportation Security Administration</t>
  </si>
  <si>
    <t>Sec. 1920</t>
  </si>
  <si>
    <t>For a pilot program for automated exit lane technology at small hub and nonhub airports</t>
  </si>
  <si>
    <t>Sec. 1921</t>
  </si>
  <si>
    <t>For monitoring passenger exit points from the sterile area of airports which the Transportation Security Administration provided such monitoring as of December 1, 2013</t>
  </si>
  <si>
    <t>Sec. 1930(b)</t>
  </si>
  <si>
    <t>To develop Visible Intermodal Prevention and Response (VIPR) teams to augment the security of any mode of transportation at any location in the United States. Authorizes such sums as necessary for the fiscal year 2019 through 2021 period</t>
  </si>
  <si>
    <t>Sec. 1935(d)</t>
  </si>
  <si>
    <t>To carry out 49 U.S.C. 44901(h); to deploy law enforcement personnel authorized to carry firearms at each airport security screening location to ensure passenger safety and national security</t>
  </si>
  <si>
    <t>Sec. 1971</t>
  </si>
  <si>
    <t>To expand the national explosives detection canine team program</t>
  </si>
  <si>
    <t>Sec. 455</t>
  </si>
  <si>
    <t>Small community air service</t>
  </si>
  <si>
    <t>Global Food Security Act of 2016</t>
  </si>
  <si>
    <t>Sec. 6(b)</t>
  </si>
  <si>
    <t>Coordination and development of a whole-of-government global food security plan by the Department of State and the Agency for International Development</t>
  </si>
  <si>
    <t>International disaster assistance including the emergency food security program</t>
  </si>
  <si>
    <t>Missing Children’s Assistance Act of 2018</t>
  </si>
  <si>
    <t>Funding authorized to carry out subchapter IV ("Missing Children") of chapter 72 of title 42 of the United States Code</t>
  </si>
  <si>
    <t>America’s Water Infrastructure Act of 2018</t>
  </si>
  <si>
    <t>Sec. 4104(c)</t>
  </si>
  <si>
    <t>For the Administrator of the Environmental Protection Agency to help carry out the goals of the Management Conference of the Long Island Sound Study as established pursuant to 33 U.S.C. 1330.</t>
  </si>
  <si>
    <t>Sec. 4104(c)(2)</t>
  </si>
  <si>
    <t>Establishment and administration of the Long Island Sound Stewardship Initiative to include the acquisition of land, site management, promotion of stewardship, and administrative expenses of the advisory committee and administrator</t>
  </si>
  <si>
    <t>Sec. 4105</t>
  </si>
  <si>
    <t>To provide grants to carry out environmental protection and restoration activities throughout the Columbia River Basin</t>
  </si>
  <si>
    <t>Sec. 4201(b)(3)</t>
  </si>
  <si>
    <t>For the Administrator of the Environmental Protection Agency to provide financial assistance to state infrastructure financing authorities</t>
  </si>
  <si>
    <t>Sec. 1144</t>
  </si>
  <si>
    <t>State and tribal levee safety program</t>
  </si>
  <si>
    <t>Inventory and inspection of levees</t>
  </si>
  <si>
    <t>Sec. 3016(f)</t>
  </si>
  <si>
    <t>Committee on levee safety, levee safety guidelines, hazard potential classification system, technical assistance and training to promote levee safety, and public education and awareness efforts relating to levee safety</t>
  </si>
  <si>
    <t>Levee rehabilitation assistance program</t>
  </si>
  <si>
    <t>Sec. 1163</t>
  </si>
  <si>
    <t>National Dam Safety Program FEMA</t>
  </si>
  <si>
    <t>National dam inventory</t>
  </si>
  <si>
    <t>Public awareness and outreach for dam safety</t>
  </si>
  <si>
    <t>Dam safety research</t>
  </si>
  <si>
    <t>Dam safety training</t>
  </si>
  <si>
    <t>Additional FEMA staff to carry out the dam safety program, research, and training</t>
  </si>
  <si>
    <t>Innovative water technology grant program</t>
  </si>
  <si>
    <t>Technical Assistance and Grants to implement the Drinking Water Infrastructure Risk and Resilience Program</t>
  </si>
  <si>
    <t>Authorizes grants for state public water system programs</t>
  </si>
  <si>
    <t>Sec. 133</t>
  </si>
  <si>
    <t>Environmental Protection Agency source water petition program</t>
  </si>
  <si>
    <t>Sec. 2017</t>
  </si>
  <si>
    <t>Authorizes the Administrator of the EPA to review technologies of community water systems.</t>
  </si>
  <si>
    <t>Sec. 125(c)</t>
  </si>
  <si>
    <t>Environmental Protection Agency monitoring program for unregulated contaminants</t>
  </si>
  <si>
    <t>Sec. 130</t>
  </si>
  <si>
    <t>State revolving loan fund for drinking water treatment programs</t>
  </si>
  <si>
    <t>SUPPORT for Patients and Communities Act</t>
  </si>
  <si>
    <t>Sec. 3203</t>
  </si>
  <si>
    <t>Grants to medical schools to enhance access to substance use disorder treatment through the development of a specific curricula for medication-assisted treatment</t>
  </si>
  <si>
    <t>Sec. 7002</t>
  </si>
  <si>
    <t>Grants to allow first responders and members of other key community sectors to administer a drug or device for emergency treatment of known or suspected opioid overdose</t>
  </si>
  <si>
    <t>Sec. 7011</t>
  </si>
  <si>
    <t>Grants or agreements with Federal, State, and local agencies to improve coordination between public health laboratories and laboratories operated by law enforcement agencies to improve detection of synthetic opioids</t>
  </si>
  <si>
    <t>Sec. 7053</t>
  </si>
  <si>
    <t>Identification of model programs and materials for training health care providers on the permitted uses and disclosures for the confidentiality of patient records and of model programs and materials for training patients and families about rights to protect and obtain patient records</t>
  </si>
  <si>
    <t>Sec. 7062</t>
  </si>
  <si>
    <t>Improving treatment for pregnant and postpartum women: grants awarded by the Director of the Center for Substance Abuse Treatment to public and nonprofit private entities for the purpose of providing to pregnant and postpartum women treatment for substance use disorders, and a pilot program under which competitive grants are made by the Director to State substance abuse agencies</t>
  </si>
  <si>
    <t>Prenatal and postnatal and infants health promotion: grants through the Centers for Disease Control and Prevention for programs on prenatal and postnatal smoking, alcohol, and illegal drug use, to include data collection, epidemiological research on prevention, educational and cessation programs, and information and education to the public on prevention</t>
  </si>
  <si>
    <t>Sec. 7065</t>
  </si>
  <si>
    <t>Grants to states to improve and coordinate response to ensure safety, permanency, and well-being of infants affected by substance abuse</t>
  </si>
  <si>
    <t>Sec. 7071</t>
  </si>
  <si>
    <t>Loan repayments through Health Resources and Services Administration for the substance use disorder treatment workforce</t>
  </si>
  <si>
    <t>Sec. 7073</t>
  </si>
  <si>
    <t>Grants, cooperative agreements, and contracts for the development and implementation of programs to provide education and training to health care professionals in pain care management</t>
  </si>
  <si>
    <t>Sec. 7081</t>
  </si>
  <si>
    <t>Competitive grants to support implementation of voluntary programs for care and treatment of individuals after drug overdose to include best practices identified and facilitated by the Department of Health and Human Services</t>
  </si>
  <si>
    <t>Sec. 7101</t>
  </si>
  <si>
    <t>Cooperative agreements awarded by the Secretary of Health and Human Services to entities for the designation as Regional Centers of Excellence in Substance Use Disorder Education for the purpose of improving health professional training resources with respect to substance use disorder prevention, treatment and recovery</t>
  </si>
  <si>
    <t>Sec. 7102(c)</t>
  </si>
  <si>
    <t>Youth prevention and recovery initiative through grants awarded by Secretary of Health and Human Services to entities for carrying out evidence-based programs for substance use disorder prevention and treatment for children, adolescents and young adults including primary prevention, recovery support services and treatment</t>
  </si>
  <si>
    <t>Sec. 7121</t>
  </si>
  <si>
    <t>Competitive grants awarded by the Secretary of Health and Human Resources for the establishment or operation of comprehensive opioid recovery centers that will provide treatment and recovery services and outreach</t>
  </si>
  <si>
    <t>Sec. 7131</t>
  </si>
  <si>
    <t>Data collection by the Centers for Disease Control and Prevention in cooperation with states on adverse childhood experiences through the Behavioral Risk Factor Surveillance System, the Youth Risk surveillance System or other public health surveys or questionnaires</t>
  </si>
  <si>
    <t>Sec. 7133</t>
  </si>
  <si>
    <t>Children's recovery from trauma and violence related stress programs: grants for developing and maintaining programs that provide for the continued operation of the National Child Trauma Stress Initiative and for developing knowledge with regard to evidence-based practices for treating psychiatric disorders of children and youth resulting from witnessing or experiencing a traumatic event</t>
  </si>
  <si>
    <t>Sec. 7134</t>
  </si>
  <si>
    <t>Grants or cooperative agreements by the Secretary of Health and Human Services with educational agencies to increase student access to evidence-based trauma support services and mental health care by initiatives, activities and programs to link local school systems with local trauma-informed support and mental health systems</t>
  </si>
  <si>
    <t>Sec. 7141</t>
  </si>
  <si>
    <t>Infections associated with illicit drug use and other risk factors : programs through the Director of the Centers for Disease Control and Prevention including a national system to determine incident of infections, identification of at risk individuals, counseling, testing, referrals for treatment for individuals at risk, public information and education programs for detection and control of infections, education and training for medical personnel, and programs to improve quality of clinical laboratory procedures</t>
  </si>
  <si>
    <t>Sec. 7151</t>
  </si>
  <si>
    <t>Building communities of recovery: the Secretary of Health and Human Services to award grants to recovery community organizations to enable such organizations to develop, expand, and enhance recovery services</t>
  </si>
  <si>
    <t>Sec. 7161</t>
  </si>
  <si>
    <t>Grants awarded by the Director of the Center for Disease Control and Prevention for evidence-based activities for the prevention of overdoses, substance overdose data collection, analysis, and dissemination, and advancement of education and awareness regarding the risks of misuse and abuse of opioids</t>
  </si>
  <si>
    <t>Sec. 7152</t>
  </si>
  <si>
    <t>Establishment or operation of a National Peer-Run Training and Technical Assistance Center for Addiction Recovery Support to provide technical assistance and support to recovery community organizations and peer support networks</t>
  </si>
  <si>
    <t>Sec. 7183</t>
  </si>
  <si>
    <t>Grants awarded by Secretary of Health and Human Resources to entities to carry out evidenced-based programs to help individuals in substance abuse disorder treatment and recovery live independently and participate in the workforce, data reporting and program oversight, and reports to Congress</t>
  </si>
  <si>
    <t>Sec. 8041</t>
  </si>
  <si>
    <t>Grants by the Secretary of Labor from the National Dislocated Worker Grants authorized under 29 U.S.C. 3181(c) for pilot programs undertaken by entities to enable local workforce boards to address the economic and workforce impacts resulting from substance user disorder using funding</t>
  </si>
  <si>
    <t>Sec. 8092</t>
  </si>
  <si>
    <t>Comprehensive opioid abuse grant program</t>
  </si>
  <si>
    <t>Sec. 8202(b)</t>
  </si>
  <si>
    <t>Office of National Drug Control Policy</t>
  </si>
  <si>
    <t>Sec. 8203(b)</t>
  </si>
  <si>
    <t>Office of National Drug Control Policy: Drug-Free Communities Program</t>
  </si>
  <si>
    <t>Sec. 8205</t>
  </si>
  <si>
    <t>High-intensity drug trafficking area program</t>
  </si>
  <si>
    <t>Sec. 8206</t>
  </si>
  <si>
    <t>Drug courts program: grants from the Attorney General for court programs for offenders with substance abuse problems (drug courts)</t>
  </si>
  <si>
    <t>Sec. 8207</t>
  </si>
  <si>
    <t>Grants from Office of National Drug Control Policy for training and technical assistance to drug courts</t>
  </si>
  <si>
    <t>Model acts program: grants from the Office of National Drug Control Policy to nonprofit organization to advise states on establishing and revising laws and policies to address illicit drug use</t>
  </si>
  <si>
    <t>Sec. 8218</t>
  </si>
  <si>
    <t>Emerging threats committee, plan, and media campaign</t>
  </si>
  <si>
    <t>Sec. 7161(d)</t>
  </si>
  <si>
    <t>Grants from Secretary of Health and Human Services in consultation with the Administrator of the Substance Abuse and Mental Health Services Administration and Director of the Centers for Disease Control and Prevention to States to establish and implement prescription drug monitoring program that is state-controlled (PDMP), make improvements to an existing PDMP, or to maintain an existing PDMP</t>
  </si>
  <si>
    <t>Awareness campaign for the advancement of the education and awareness of the public to dangers of opioid abuse, prevention of abuse, and warning signs of addiction</t>
  </si>
  <si>
    <t>Sec. 8083</t>
  </si>
  <si>
    <t>Building capacity for family-focused residential treatment: grants from Secretary of Health and Human Services to develop, enhance, or evaluate family-focused residential treatment programs</t>
  </si>
  <si>
    <t>Assistance to States to provide individuals in recovery from a substance use disorder stable, temporary housing for a period of not more than 2 years or until the individual secures permanent housing, whichever is earlier</t>
  </si>
  <si>
    <t>Sec. 8204</t>
  </si>
  <si>
    <t>Office of National Drug Control Policy: National Community Antidrug Coalition Institute</t>
  </si>
  <si>
    <t>Frank LoBiondo Coast Guard Authorization Act of 2018</t>
  </si>
  <si>
    <t>Authorizes the Coast Guard's acquisition of 3 Fast Response Cutters</t>
  </si>
  <si>
    <t>To fund the acquisition, construction, rebuilding, or improvement of Coast Guard shoreside infrastructure and facilities necessary to support Coast Guard operations and readiness.</t>
  </si>
  <si>
    <t>To fund analysis and program development for improvements to or the replacement of rotary-wing aircraft.</t>
  </si>
  <si>
    <t>Sec. 903(g)(7)</t>
  </si>
  <si>
    <t>For activities of the Great Lakes and Lake Champlain Invasive Species Program</t>
  </si>
  <si>
    <t>Sec. 1001</t>
  </si>
  <si>
    <t>For the National Oceanic and Atmospheric Administration for nautical mapping and charting</t>
  </si>
  <si>
    <t>Hydrographic surveys</t>
  </si>
  <si>
    <t>Operate hydrographic survey vessels</t>
  </si>
  <si>
    <t>Carry out geodetic functions</t>
  </si>
  <si>
    <t>Carry out tide and current measurement functions</t>
  </si>
  <si>
    <t>Artic Programs Operation</t>
  </si>
  <si>
    <t>Artic Program hydrographic data to delineate US Extended Continental Shelf</t>
  </si>
  <si>
    <t>Action for Dental Health Act of 2018</t>
  </si>
  <si>
    <t>Award grants through Health Resources and Services Administration to states to help develop and implement innovative programs to address the dental workforce needs of designated dental health professional shortage areas in the respective state</t>
  </si>
  <si>
    <t>National Earthquake Hazards Reduction Program Reauthorization Act of 2018</t>
  </si>
  <si>
    <t>Sec. 7(c)</t>
  </si>
  <si>
    <t>National Science Foundation for Earthquake Reduction Program</t>
  </si>
  <si>
    <t>Sec. 7(4)</t>
  </si>
  <si>
    <t>National Institute of Standards and Technology for Earthquake Reduction Program</t>
  </si>
  <si>
    <t>Sec. 7(1)</t>
  </si>
  <si>
    <t>Federal Emergency Management Agency: operations for the Earthquake Hazards Reduction Program</t>
  </si>
  <si>
    <t>Sec. 7(2)</t>
  </si>
  <si>
    <t>For the United States Geological Survey to carry out the National Earthquake Hazards Reduction Program</t>
  </si>
  <si>
    <t>Sickle Cell Disease and Other Heritable Blood Disorders Research. Surveillance, Prevention, and Treatment Act of 2018</t>
  </si>
  <si>
    <t>Grants related to heritable blood disorders to collect and maintain data, identify health disparities, assess therapies and strategies, and evaluate risk factors; public health activities to improve health outcomes and provide support through education, training, and identification of best practices; demonstration program through grants to develop and establish systemic mechanisms to improve the prevention and treatment of Sickle Cell Disease</t>
  </si>
  <si>
    <t>PREEMIE Reauthorization Act of 2018</t>
  </si>
  <si>
    <t>Centers for Disease Control and Prevention: ongoing epidemiological studies on the relationship between prematurity, birth defects, and developmental disabilities, activities to improve national data for tracking preterm birth, activities for the prevention of preterm births, continuing the Pregnancy Risk Assessment Monitoring Survey to track all pregnancy outcomes, and prevent preterm birth and provide technical assistance to states in the collection of information</t>
  </si>
  <si>
    <t>Agriculture Improvement Act of 2018</t>
  </si>
  <si>
    <t>Sec. 7608</t>
  </si>
  <si>
    <t>Agriculture innovation center demonstration program</t>
  </si>
  <si>
    <t>Sec. 8101</t>
  </si>
  <si>
    <t>Statewide assessment and strategies for forest resources</t>
  </si>
  <si>
    <t>Sec. 4018(e)(1)</t>
  </si>
  <si>
    <t>Emergency food assistance program</t>
  </si>
  <si>
    <t>Sec. 7414</t>
  </si>
  <si>
    <t>Sun grant program</t>
  </si>
  <si>
    <t>Sec. 2405</t>
  </si>
  <si>
    <t>Grassroots source water protection program</t>
  </si>
  <si>
    <t>Sec. 5301</t>
  </si>
  <si>
    <t>Beginning farmer and rancher individual development accounts pilot program</t>
  </si>
  <si>
    <t>Sec. 6408</t>
  </si>
  <si>
    <t>Water systems for rural and native villages in Alaska</t>
  </si>
  <si>
    <t>Sec. 6411</t>
  </si>
  <si>
    <t>Rural business development grants</t>
  </si>
  <si>
    <t>Sec. 6422</t>
  </si>
  <si>
    <t>Rural microentrepreneur assistance program</t>
  </si>
  <si>
    <t>Sec. 6423</t>
  </si>
  <si>
    <t>For health care services that address continued unmet health needs in the Delta region through cooperation among health care professionals, institutions of higher education, research institutions, and other individuals and entities in the region</t>
  </si>
  <si>
    <t>Sec. 6427</t>
  </si>
  <si>
    <t>Rural business investment program</t>
  </si>
  <si>
    <t>Sec. 6201</t>
  </si>
  <si>
    <t>Access to broadband telecommunications services in rural areas</t>
  </si>
  <si>
    <t>Sec. 6102</t>
  </si>
  <si>
    <t>Distance learning and telemedicine</t>
  </si>
  <si>
    <t>Sec. 7107</t>
  </si>
  <si>
    <t>Grants and fellowships for food and agricultural sciences education</t>
  </si>
  <si>
    <t>Nutrition education program</t>
  </si>
  <si>
    <t>Sec. 7113</t>
  </si>
  <si>
    <t>Continuing animal health and disease research programs</t>
  </si>
  <si>
    <t>Sec. 7118</t>
  </si>
  <si>
    <t>Grants to upgrade agriculture and food sciences facilities and equipment at 1890 land-grant institutions, including Tuskegee University</t>
  </si>
  <si>
    <t>Hispanic-serving institutions</t>
  </si>
  <si>
    <t>Sec. 7124</t>
  </si>
  <si>
    <t>Competitive grants for international agricultural science and education programs</t>
  </si>
  <si>
    <t>Sec. 7127</t>
  </si>
  <si>
    <t>University research</t>
  </si>
  <si>
    <t>Sec. 7128</t>
  </si>
  <si>
    <t>Extension service</t>
  </si>
  <si>
    <t>Capacity-building grants for non-land grant colleges of agriculture institutions</t>
  </si>
  <si>
    <t>Rangeland research programs</t>
  </si>
  <si>
    <t>Special authorization for biosecurity planning and response</t>
  </si>
  <si>
    <t>Sec. 7136(a)</t>
  </si>
  <si>
    <t>Distance education grants for insular areas</t>
  </si>
  <si>
    <t>Sec. 7136(b)</t>
  </si>
  <si>
    <t>Resident instruction grants for insular areas</t>
  </si>
  <si>
    <t>Sec. 7207</t>
  </si>
  <si>
    <t>National Agricultural Weather Information System</t>
  </si>
  <si>
    <t>Sec. 7209</t>
  </si>
  <si>
    <t>High-priority research and extension initiatives</t>
  </si>
  <si>
    <t>Sec. 7215</t>
  </si>
  <si>
    <t>National Rural Information Center Clearinghouse</t>
  </si>
  <si>
    <t>Sec. 9002</t>
  </si>
  <si>
    <t>Biobased markets program</t>
  </si>
  <si>
    <t>Sec. 7302</t>
  </si>
  <si>
    <t>Integrated research, education, and extension competitive grants program</t>
  </si>
  <si>
    <t>Fusarium graminearum grants</t>
  </si>
  <si>
    <t>Grants for youth organizations</t>
  </si>
  <si>
    <t>Sec. 7305(b)</t>
  </si>
  <si>
    <t>Specialty crop research initiative</t>
  </si>
  <si>
    <t>Sec. 7306</t>
  </si>
  <si>
    <t>Food animal residue avoidance database program</t>
  </si>
  <si>
    <t>Sec. 7501</t>
  </si>
  <si>
    <t>Critical Agricultural Materials Act</t>
  </si>
  <si>
    <t>Sec. 7502</t>
  </si>
  <si>
    <t>Equity in Educational Land-Grant Status Act of 1994: endowment for 1994 institutions, institutional capacity building grants, research grants</t>
  </si>
  <si>
    <t>Aquaculture assistance programs</t>
  </si>
  <si>
    <t>Sec. 7413</t>
  </si>
  <si>
    <t>Natural products research program</t>
  </si>
  <si>
    <t>Biorefinery assistance</t>
  </si>
  <si>
    <t>Sec. 9005</t>
  </si>
  <si>
    <t>Bioenergy program for advanced biofuels</t>
  </si>
  <si>
    <t>Sec. 9006</t>
  </si>
  <si>
    <t>Biodiesel fuel education program</t>
  </si>
  <si>
    <t>Sec. 9007</t>
  </si>
  <si>
    <t>Rural energy for America program</t>
  </si>
  <si>
    <t>Sec. 7507</t>
  </si>
  <si>
    <t>Biomass research and development</t>
  </si>
  <si>
    <t>Sec. 8644</t>
  </si>
  <si>
    <t>Community wood energy program</t>
  </si>
  <si>
    <t>Sec. 10106</t>
  </si>
  <si>
    <t>Food safety education initiatives</t>
  </si>
  <si>
    <t>Sec. 10103</t>
  </si>
  <si>
    <t>Organic production and market data initiatives</t>
  </si>
  <si>
    <t>Sec. 12406</t>
  </si>
  <si>
    <t>Office of Partnerships and Public Engagement</t>
  </si>
  <si>
    <t>Sec. 7402</t>
  </si>
  <si>
    <t>Assistance to build local capacity in agricultural biosecurity planning, preparedness, and response through advanced training programs</t>
  </si>
  <si>
    <t>Sec. 7403</t>
  </si>
  <si>
    <t>Research and development of agriculture countermeasures</t>
  </si>
  <si>
    <t>Sec. 7404</t>
  </si>
  <si>
    <t>Biosecurity grant program to promote the development of teaching programs in agriculture, veterinary medicine, and disciplines closely allied to the food and agriculture system</t>
  </si>
  <si>
    <t>Grants to upgrade agriculture and food sciences facilities and equipment at insular-area land-grant institutions</t>
  </si>
  <si>
    <t>Agriculture and food policy research centers</t>
  </si>
  <si>
    <t>Sec. 3207</t>
  </si>
  <si>
    <t>Local and Regional Food and Procurement Projects</t>
  </si>
  <si>
    <t>Sec. 4003</t>
  </si>
  <si>
    <t>Food Distribution Program on Indian Reservations</t>
  </si>
  <si>
    <t>Sec. 4020</t>
  </si>
  <si>
    <t>Retail Food Store and Recipient Trafficking</t>
  </si>
  <si>
    <t>Sec. 5102</t>
  </si>
  <si>
    <t>Conservation Loan and Loan Guarantee Program</t>
  </si>
  <si>
    <t>Sec. 6409</t>
  </si>
  <si>
    <t>Rural decentralized water systems</t>
  </si>
  <si>
    <t>Sec. 6410</t>
  </si>
  <si>
    <t>Solid waste management grants</t>
  </si>
  <si>
    <t>Sec. 6412</t>
  </si>
  <si>
    <t>Rural Cooperative Development Grants</t>
  </si>
  <si>
    <t>Sec. 6416</t>
  </si>
  <si>
    <t>Intermediary Relending Program</t>
  </si>
  <si>
    <t>Sec. 6203</t>
  </si>
  <si>
    <t>Innovative Broadband Advancement Program</t>
  </si>
  <si>
    <t>Sec. 6303</t>
  </si>
  <si>
    <t>Rural Energy Savings Program</t>
  </si>
  <si>
    <t>Agricultural and Food Policy Research Centers</t>
  </si>
  <si>
    <t>Sec. 7129</t>
  </si>
  <si>
    <t>Supplemental and Alternative Crops Program</t>
  </si>
  <si>
    <t>Sec. 7201</t>
  </si>
  <si>
    <t>Best Utilization of Biological Applications</t>
  </si>
  <si>
    <t>Sec. 7202</t>
  </si>
  <si>
    <t>Integrated Management Systems</t>
  </si>
  <si>
    <t>Sec. 7203</t>
  </si>
  <si>
    <t>Sustainable Agriculture Technology Development and Transfer Program</t>
  </si>
  <si>
    <t>Sec. 7204</t>
  </si>
  <si>
    <t>National Training Program</t>
  </si>
  <si>
    <t>National Genetics Resources Program</t>
  </si>
  <si>
    <t>Sec. 7211</t>
  </si>
  <si>
    <t>Farm Business Management</t>
  </si>
  <si>
    <t>Sec. 7214</t>
  </si>
  <si>
    <t>Assistive Technology Program for Farmers with Disabilities</t>
  </si>
  <si>
    <t>Sec. 7308</t>
  </si>
  <si>
    <t>Forestry Products Advances Utilization Research</t>
  </si>
  <si>
    <t>Agricultural Biosecurity Grant Program</t>
  </si>
  <si>
    <t>Sec. 8407</t>
  </si>
  <si>
    <t>Healthy Forests Reserve Program</t>
  </si>
  <si>
    <t>Sec. 8406</t>
  </si>
  <si>
    <t>Insect and Disease Infestation</t>
  </si>
  <si>
    <t>Sec. 12501</t>
  </si>
  <si>
    <t>Acer Access and Development Program</t>
  </si>
  <si>
    <t>Sec. 4016</t>
  </si>
  <si>
    <t>Supplemental Nutrition Assistance Program</t>
  </si>
  <si>
    <t>High-priority research and extension activities: pulse crop health initiative</t>
  </si>
  <si>
    <t>High-priority research and extension activities: training coordination for food and agriculture protection.</t>
  </si>
  <si>
    <t>High-priority research and extension activities: pollinator protection, research and extension grants</t>
  </si>
  <si>
    <t>High-priority research and extension activities: Department of Agriculture capacity and infrastructure</t>
  </si>
  <si>
    <t>High-priority research and extension activities: honey bee surveillance</t>
  </si>
  <si>
    <t>Sec. 2013</t>
  </si>
  <si>
    <t>Mitigation Banking</t>
  </si>
  <si>
    <t>Watershed protection and flood prevention; assistance to local organizations</t>
  </si>
  <si>
    <t>Grassroots Source Water Protection Program</t>
  </si>
  <si>
    <t>Sec. 3301</t>
  </si>
  <si>
    <t>Growing American Food Imports</t>
  </si>
  <si>
    <t>Sec. 3302</t>
  </si>
  <si>
    <t>Food for Progress Act of 1985</t>
  </si>
  <si>
    <t>Sec. 3307</t>
  </si>
  <si>
    <t>International Agricultural Education Fellowship Program</t>
  </si>
  <si>
    <t>Sec. 3308</t>
  </si>
  <si>
    <t>International Food Security Technical Assistance</t>
  </si>
  <si>
    <t>Sec. 4015</t>
  </si>
  <si>
    <t>Longitudinal data for research</t>
  </si>
  <si>
    <t>Relending program to resolve ownership and succession of farmland</t>
  </si>
  <si>
    <t>Sec. 5304</t>
  </si>
  <si>
    <t>Use of additional funds for direct operating microloans under certain conditions</t>
  </si>
  <si>
    <t>Sec. 6202</t>
  </si>
  <si>
    <t>Extension of middle mile infrastructure into rural areas</t>
  </si>
  <si>
    <t>Sec. 6204</t>
  </si>
  <si>
    <t>Community Connect Grant Program</t>
  </si>
  <si>
    <t>Sec. 6304(c)</t>
  </si>
  <si>
    <t>State capacity building grant program</t>
  </si>
  <si>
    <t>Sec. 6304(e)</t>
  </si>
  <si>
    <t>Northern border regional commission</t>
  </si>
  <si>
    <t>Sec. 379H</t>
  </si>
  <si>
    <t>Strategic economic and community development</t>
  </si>
  <si>
    <t>Sec. 6407</t>
  </si>
  <si>
    <t>Emergency and imminent community water assistance grant program</t>
  </si>
  <si>
    <t>Sec. 6406</t>
  </si>
  <si>
    <t>Tribal college and university essential community facilities</t>
  </si>
  <si>
    <t>Sec. 6405</t>
  </si>
  <si>
    <t>Rural water and wastewater circuit rider program</t>
  </si>
  <si>
    <t>Sec. 379I</t>
  </si>
  <si>
    <t>Rural Innovation Stronger Economy Grant Program</t>
  </si>
  <si>
    <t>Sec. 1458A</t>
  </si>
  <si>
    <t>Partnerships to build capacity in international agricultural research, extension, and teaching</t>
  </si>
  <si>
    <t>Sec. 1462A</t>
  </si>
  <si>
    <t>Research equipment grants</t>
  </si>
  <si>
    <t>Sec. 1672E</t>
  </si>
  <si>
    <t>Urban, indoor, and other emerging agricultural production research, education, and extension initiative</t>
  </si>
  <si>
    <t>Sec. 1672E(d)(1(b)(2))</t>
  </si>
  <si>
    <t>Data collection on urban, indoor, and emerging agricultural production</t>
  </si>
  <si>
    <t>Sec. 7213</t>
  </si>
  <si>
    <t>Centers of excellence at 1890 institutions</t>
  </si>
  <si>
    <t>Sec. 7412</t>
  </si>
  <si>
    <t>Farm and ranch stress assistance network</t>
  </si>
  <si>
    <t>Sec. 7505</t>
  </si>
  <si>
    <t>Extension design and demonstration initiative</t>
  </si>
  <si>
    <t>Sec. 8102</t>
  </si>
  <si>
    <t>State and Private Forest Landscape-Scale Restoration Program</t>
  </si>
  <si>
    <t>Sec. 8401</t>
  </si>
  <si>
    <t>Promoting cross-boundary wildfire mitigation</t>
  </si>
  <si>
    <t>Sec. 8402</t>
  </si>
  <si>
    <t>Hazardous fuel reduction on federal land</t>
  </si>
  <si>
    <t>Sec. 8404</t>
  </si>
  <si>
    <t>Water Source Protection Program</t>
  </si>
  <si>
    <t>Sec. 9010</t>
  </si>
  <si>
    <t>Biomass Crop Assistance Program</t>
  </si>
  <si>
    <t>Sec. 9014(b)(1)</t>
  </si>
  <si>
    <t>Carbon Utilization and Biogas Education Program</t>
  </si>
  <si>
    <t>Sec. 9014(b)(2)</t>
  </si>
  <si>
    <t>Sec. 10104</t>
  </si>
  <si>
    <t>Organic Certification</t>
  </si>
  <si>
    <t>Sec. 10109</t>
  </si>
  <si>
    <t>Multiple crop and pesticide use survey</t>
  </si>
  <si>
    <t>Sec. 12101</t>
  </si>
  <si>
    <t>Animal disease prevention and management</t>
  </si>
  <si>
    <t>Sec. 12203</t>
  </si>
  <si>
    <t>Agriculture and food defense</t>
  </si>
  <si>
    <t>Sec. 12301</t>
  </si>
  <si>
    <t>Farming opportunities training and outreach</t>
  </si>
  <si>
    <t>Sec. 12302</t>
  </si>
  <si>
    <t>Office of Urban Agriculture and Innovative Production</t>
  </si>
  <si>
    <t>Protecting animals with shelter</t>
  </si>
  <si>
    <t>Sec. 12512</t>
  </si>
  <si>
    <t>Improvements to United States drought monitoring</t>
  </si>
  <si>
    <t>Sec. 12513</t>
  </si>
  <si>
    <t>Dairy business innovation initiatives</t>
  </si>
  <si>
    <t>Sec. 12607</t>
  </si>
  <si>
    <t>Reports on land access and farmland ownership data collection</t>
  </si>
  <si>
    <t>Sec. 12612</t>
  </si>
  <si>
    <t>National Agriculture Imagery Program</t>
  </si>
  <si>
    <t>Southeast Crescent Regional Commission</t>
  </si>
  <si>
    <t>Southwest Border Regional Commission</t>
  </si>
  <si>
    <t>Congenital Heart Futures Reauthorization Act of 2017</t>
  </si>
  <si>
    <t>To improve understanding of the epidemiology of congenital heart disease in all age groups through expanded research, national study, and a surveillance system, and to conduct public awareness and education on congenital heart disease, by the Centers for Disease Control</t>
  </si>
  <si>
    <t>Preventing Maternal Deaths Act of 2018</t>
  </si>
  <si>
    <t>Safe motherhood prevention research: through the Centers for Disease Control and Prevention a surveillance program (which may include expansion of the Pregnancy Risk Assessment Monitoring System and the Maternal and Child Health Epidemiology program) and assistance in establishing and operating maternal mortality review committees, an expansion of prevention research, and activities to promote safe motherhood including public education, education for medical professionals, and community support services carried out by the Secretary of Health and Human Services</t>
  </si>
  <si>
    <t>Traumatic Brain Injury Reauthorization Act of 2018</t>
  </si>
  <si>
    <t>Grants to States and American Indian consortia through the Administration for Community Living for projects to improve access to rehabilitation and other services regarding traumatic brain injury (42 U.S.C. 300d-52(j))</t>
  </si>
  <si>
    <t>Centers for Disease Control and Prevention programs for prevention and reducing the incidence of traumatic brain injury, and grants to states for a traumatic brain injury surveillance system or registry</t>
  </si>
  <si>
    <t>Grants through the Administration for Community Living for protection and advocacy systems that provide services to individuals with traumatic brain injury (42 U.S.C. 300d-53(l))</t>
  </si>
  <si>
    <t>Juvenile Justice Reform Act of 2018</t>
  </si>
  <si>
    <t>Sec. 402(a)</t>
  </si>
  <si>
    <t>To carry out the Juvenile Justice and Delinquency Prevention Act of 1974 (Charles Grassley Juvenile Justice and Delinquency Prevention Program), as amended, except Titles III and IV</t>
  </si>
  <si>
    <t>Sec. 402(b)(1)</t>
  </si>
  <si>
    <t>To carry out Title III, Runaway and Homeless Youth Act, of the Juvenile Justice and Delinquency Act of 1974, as amended, except part E</t>
  </si>
  <si>
    <t>Sec. 402(b)(3)</t>
  </si>
  <si>
    <t>Part E of Title III, Sexual Abuse Prevention Program, of the Juvenile Justice and Delinquency Act of 1974</t>
  </si>
  <si>
    <t>Basic center grant program to provide services for runaway and homeless youth and for the families of such youth, transitional living grant program, national communications system, and coordinating training, research, evaluation, demonstration activities and other activities</t>
  </si>
  <si>
    <t>Sec. 402(b)</t>
  </si>
  <si>
    <t>Sexual abuse prevention programs and street-based services for at risk homeless and runaway youth</t>
  </si>
  <si>
    <t>Strengthening and Enhancing Cyber-capabilities by Utilizing Risk Exposure Technology Act</t>
  </si>
  <si>
    <t>Authorizes the Chief Information Officer within the Department of Homeland Security to establish a bug bounty pilot program to minimize vulnerabilities of appropriate information systems</t>
  </si>
  <si>
    <t>First Step Act of 2018</t>
  </si>
  <si>
    <t>Recidivism Reduction</t>
  </si>
  <si>
    <t>Sec. 502</t>
  </si>
  <si>
    <t>Grants for programs to evaluate and improve educational methods at prisons, jails, and juvenile facilities</t>
  </si>
  <si>
    <t>Sec. 504(e)</t>
  </si>
  <si>
    <t>Offender reentry research</t>
  </si>
  <si>
    <t>Sec. 502(a)(9)</t>
  </si>
  <si>
    <t>State and local offender reentry demonstration projects</t>
  </si>
  <si>
    <t>Sec. 502(b)(3)</t>
  </si>
  <si>
    <t>Grants for a family-based substance abuse treatment program</t>
  </si>
  <si>
    <t>Sec. 502(e)</t>
  </si>
  <si>
    <t>Grants for offender reentry substance abuse and criminal justice collaboration programs</t>
  </si>
  <si>
    <t>Sec. 502(f)(1(D))</t>
  </si>
  <si>
    <t>Mentoring grants to nonprofit organizations</t>
  </si>
  <si>
    <t>Sec. 504(b)(4)</t>
  </si>
  <si>
    <t>Bureau of Prisons: federal prisoner reentry initiative</t>
  </si>
  <si>
    <t>Sec. 502(d)(7)</t>
  </si>
  <si>
    <t>Technology careers demonstration grants</t>
  </si>
  <si>
    <t>Trafficking Victims Protection Act of 2017</t>
  </si>
  <si>
    <t>Sec. 301(b)</t>
  </si>
  <si>
    <t>For an annual trafficking conference conducted by the Attorney General, in consultation and cooperation with the Secretary of Health and Human Services</t>
  </si>
  <si>
    <t>Sec. 301(c)</t>
  </si>
  <si>
    <t>For enhancing state and local efforts to combat trafficking in persons</t>
  </si>
  <si>
    <t>Sec. 301(d)</t>
  </si>
  <si>
    <t>Appointment of child advocates for unaccompanied minors by the Secretary of Health and Human Services</t>
  </si>
  <si>
    <t>Sec. 301(3)</t>
  </si>
  <si>
    <t>For a grant program to develop, expand, and strengthen assistance programs for certain persons subject to trafficking</t>
  </si>
  <si>
    <t>Sec. 301(a)(2)</t>
  </si>
  <si>
    <t>For state and federal benefits for aliens who are victims of extreme forms of trafficking</t>
  </si>
  <si>
    <t>Stop, Observe, Ask, and Respond (SOAR) to Health and Wellness Act of 2018</t>
  </si>
  <si>
    <t>Program to provide training to health care and social service providers on human trafficking to include identification of victims, best practices for law enforcement and health care referral, and appropriate care for the victims</t>
  </si>
  <si>
    <t>Ashanti Alert Act of 2018</t>
  </si>
  <si>
    <t>To carry out the Ashanti Alert communications network</t>
  </si>
  <si>
    <t>Building Our Largest Dementia (BOLD) Infrastructure for Alzheimer's Act</t>
  </si>
  <si>
    <t>Cooperative agreements through the Centers for Disease Control and Prevention to states and public health departments to address Alzheimer's disease and related dementias by reducing cognitive decline, assistance for caregivers, and support of evidence-based interventions</t>
  </si>
  <si>
    <t>Asia Reassurance Initiative Act of 2018</t>
  </si>
  <si>
    <t>USAID &amp; DOD authorization to advance foreign policy and defense interests in the Indo-Pacific Region</t>
  </si>
  <si>
    <t>Sec. 409(a)(1)</t>
  </si>
  <si>
    <t>Promotion of Democracy in the Indo-Pacific Region</t>
  </si>
  <si>
    <t>Sec. 410(C)</t>
  </si>
  <si>
    <t>Human Rights Defenders</t>
  </si>
  <si>
    <t>Indo-Pacific young leaders initiatives, including the Young Southeast Asian Leaders Initiative, the ASEAN Youth Volunteers Program, and other people-to-people exchange programs that focus on building the capacity of democracy, human rights, and good governance activists in the Indo-Pacific region.</t>
  </si>
  <si>
    <t>Indo-Pacific Energy Strategy</t>
  </si>
  <si>
    <t>Cybersecurity - to enhance cooperation between the United States and Indo-Pacific nations for the purposes of combatting cybersecurity threats.</t>
  </si>
  <si>
    <t>Museum and Library Services Act of 2018</t>
  </si>
  <si>
    <t>Annual policy research, data collection, analysis and modeling, evaluation, and dissemination of information to extend and improve the nation's museum, library, and information resources</t>
  </si>
  <si>
    <t>Library Services and Technology Act: basic programs (part 1), library programs (part 2), and administration (part 3)</t>
  </si>
  <si>
    <t>Library Services and Technology Act: Laura Bush 21st Century Librarians (part 4)</t>
  </si>
  <si>
    <t>Grants for the support of museums</t>
  </si>
  <si>
    <t>National Integrated Drought Information System Reauthorization Act of 2018</t>
  </si>
  <si>
    <t>To carry out the National Integrated Drought Information System Act within the National Oceanic and Atmospheric Administration</t>
  </si>
  <si>
    <t>To the National Weather Service for Subseasonal and Seasonal Forecasting Innovation</t>
  </si>
  <si>
    <t>Weather laboratories and cooperative institutes</t>
  </si>
  <si>
    <t>Weather and air chemistry research programs</t>
  </si>
  <si>
    <t>Joint technology transfer initiative</t>
  </si>
  <si>
    <t>National Environmental Satellite, Data, and Information Service procurement, acquisition, and construction</t>
  </si>
  <si>
    <t>Sec. 8(h)</t>
  </si>
  <si>
    <t>For a national harmful algal bloom and hypoxia program and comprehensive research plan and action strategy (Secs. 603A and 603B)</t>
  </si>
  <si>
    <t>Victims of Child Abuse Act Reauthorization Act of 2018</t>
  </si>
  <si>
    <t>Sec. 2(f)</t>
  </si>
  <si>
    <t>Local and regional children's advocacy centers</t>
  </si>
  <si>
    <t>Sec. 2(a)(2)</t>
  </si>
  <si>
    <t>Grants for specialized technical and assistance programs for the prosecution of child abuse cases</t>
  </si>
  <si>
    <t>Frederick Douglass Trafficking Victims Prevention and Protection Reauthorization Act of 2018</t>
  </si>
  <si>
    <t>Sec. 301(2)</t>
  </si>
  <si>
    <t>Eligibility for benefits and services through the Department of Health and Human Services for victims of trafficking in the United States</t>
  </si>
  <si>
    <t>Bilateral assistance funded through the Department of State to combat trafficking through prevention</t>
  </si>
  <si>
    <t>To protect children and others from sexual abuse and exploitation, including sex trafficking and sex tourism, by providing advance notice of intended travel by registered sex offenders outside the United States to the government of the country of destination, requesting foreign governments to notify the United States when a known sex offender is seeking to enter the United States, and for other purposes</t>
  </si>
  <si>
    <t>Sec. 301(1)</t>
  </si>
  <si>
    <t>Intra-agency task force funded through the Secretary of State to monitor and combat trafficking</t>
  </si>
  <si>
    <t>Nuclear Energy Innovation and Modernization Act</t>
  </si>
  <si>
    <t>Advanced nuclear reactor program licensing</t>
  </si>
  <si>
    <t>Tropical Forest Conservation Reauthorization Act of 2018</t>
  </si>
  <si>
    <t>For the reduction of debt owed to the United States made as a result of concessional loans to developing countries with tropical forests</t>
  </si>
  <si>
    <t>Further Additional Continuing Appropriations Act, 2019</t>
  </si>
  <si>
    <t>Sec. 907(a)</t>
  </si>
  <si>
    <t>For analysis and research on violence against Indian women</t>
  </si>
  <si>
    <t>Sec. 907(b)</t>
  </si>
  <si>
    <t>For tracking of violence against Indian women</t>
  </si>
  <si>
    <t>Sec. 1251(E)(ii)</t>
  </si>
  <si>
    <t>From funds appropriated to the President, assistance to countries to meet minimum standards for the elimination of trafficking</t>
  </si>
  <si>
    <t>Sec. 1251(E)(i)</t>
  </si>
  <si>
    <t>From funds appropriated to the President, prevention of trafficking; foreign victim assistance</t>
  </si>
  <si>
    <t>United States Interagency Council on Homelessness</t>
  </si>
  <si>
    <t>John D. Dingell, Jr. Conservation, Management, and Recreation Act</t>
  </si>
  <si>
    <t>Sec. 5001</t>
  </si>
  <si>
    <t>For activities associated with the National Volcano Early Warning and Monitoring System. There is $55m available for the period of fiscal years 2019 through 2023</t>
  </si>
  <si>
    <t>Amends the Great Ape Conservation Act of 2000</t>
  </si>
  <si>
    <t>Conservation of marine turtles and the nesting habitats of marine turtles in foreign countries: for supporting and providing financial resources for projects to conserve nesting habitats, conserve marine turtles in those habitats, and address other threats to the survival of marine turtles; funded within the Multinational Species Conservation Fund</t>
  </si>
  <si>
    <t>Neotropical Migratory Bird Conservation Improvement Act of 2006</t>
  </si>
  <si>
    <t>Annual base funding of fish recovery programs</t>
  </si>
  <si>
    <t>Pandemic and All-Hazards Preparedness and Advancing Innovation Act of 2019</t>
  </si>
  <si>
    <t>Sec. 202(a)(7)</t>
  </si>
  <si>
    <t>National Health Security Strategy cooperative agreements through the Centers for Disease Control and Prevention: coordination in public health emergencies to include integration, public health, at-risk individuals, and continuity of operations</t>
  </si>
  <si>
    <t>Tracking and distribution of influenza vaccine in an influenza pandemic</t>
  </si>
  <si>
    <t>Sec. 104(2)</t>
  </si>
  <si>
    <t>Providing for the Assistant Secretary for Preparedness and Response and the operations of the National Disaster Medical System</t>
  </si>
  <si>
    <t>Sec. 301(b)(2)</t>
  </si>
  <si>
    <t>Volunteer Medical Reserve Corps: establish and maintain a corps to provide for an adequate supply of volunteers in a health emergency</t>
  </si>
  <si>
    <t>Sec. 207(a)</t>
  </si>
  <si>
    <t>Advance registration of health professionals: to establish and maintain a system to verify the credentials, licenses, accreditations, and hospital privileges during public health emergencies</t>
  </si>
  <si>
    <t>Sec. 202(e)</t>
  </si>
  <si>
    <t>Cooperative agreements or grants for state and regional hospital preparedness to improve surge capacity and enhance community and hospital preparedness for public health emergencies, and to provide guidelines for regional health care emergency preparedness and response system</t>
  </si>
  <si>
    <t>Sec. 504(a)</t>
  </si>
  <si>
    <t>Procurement of security countermeasures and operations of the Biomedical Advanced Research and Development Authority (BioShield), $71000,000,000 for the period 2019 to 2028</t>
  </si>
  <si>
    <t>Sec. 504(b)</t>
  </si>
  <si>
    <t>Biodefense Medical Countermeasure Development Fund for the Biomedical Advanced Research and Development Authority (BARDA)</t>
  </si>
  <si>
    <t>Sec. 701</t>
  </si>
  <si>
    <t>Department of Veterans Affairs assistance in the event of a public health emergency for the readiness of medical centers, security at medical and research centers, tracking of pharmaceuticals and medical supplies, training of department professionals in public health emergencies, participation in the National Disaster Medical System, and provision of mental health counseling and assistance</t>
  </si>
  <si>
    <t>Sec. 607(a)</t>
  </si>
  <si>
    <t>Reauthorization of mosquito abatement for safety and health program</t>
  </si>
  <si>
    <t>Sec. 607(b)</t>
  </si>
  <si>
    <t>Epidemiology-laboratory capacity grants through the Centers for Disease Control and Prevention</t>
  </si>
  <si>
    <t>Sec. 301(c)(2)</t>
  </si>
  <si>
    <t>Loan repayment assistance for qualified health professionals serving in the Epidemic Intelligence Service</t>
  </si>
  <si>
    <t>Grants to high-acuity trauma centers for military trauma teams to provide trauma care and related acute care, and grants to trauma centers to trauma centers for military care providers to also provide such care</t>
  </si>
  <si>
    <t>Sec. 404(b)</t>
  </si>
  <si>
    <t>Advanced research, development, and procurement of countermeasures, pandemic or epidemic products in order to implement strategic initiatives to address threats, including pandemic influenza, which may include a chemical, biological, radiological, or nuclear agent, that pose a significant level of risk to public health and national security</t>
  </si>
  <si>
    <t>Supporting and Treating Officers In Crisis Act of 2019</t>
  </si>
  <si>
    <t>Support for Law Enforcement Officers and Families</t>
  </si>
  <si>
    <t>Emergency Medical Services for Children Reauthorization Act of 2019</t>
  </si>
  <si>
    <t>Improvement and expansion of emergency medical services for children who need treatment for trauma or critical care</t>
  </si>
  <si>
    <t>Autism Collaboration, Accountability, Research, Education, and Support Act of 2019</t>
  </si>
  <si>
    <t>Developmental disabilities surveillance and research program in the Centers for Disease Control</t>
  </si>
  <si>
    <t>Autism education, early detection, and intervention program</t>
  </si>
  <si>
    <t>Interagency Autism Coordinating Committee to coordinate all efforts within the Department of Health and Human Services concerning autism spectrum disorder, under the auspices of the Centers for Disease Control</t>
  </si>
  <si>
    <t>National Defense Authorization Act for Fiscal Year 2020</t>
  </si>
  <si>
    <t>Sec. 1741(g)(1)</t>
  </si>
  <si>
    <t>National Institute of Standards Technology Industrial Technical Services: Manufacture USA</t>
  </si>
  <si>
    <t>Sec. 3521</t>
  </si>
  <si>
    <t>Cable Security Fleet</t>
  </si>
  <si>
    <t>Drinking Water State Revolving Funds</t>
  </si>
  <si>
    <t>Perfluoroalkyl and polyfluoroalkyl substances (PFAS) research and development</t>
  </si>
  <si>
    <t>Sec. 5726</t>
  </si>
  <si>
    <t>Securing Energy Infrastructure</t>
  </si>
  <si>
    <t>Sec. 1741(g)(2)</t>
  </si>
  <si>
    <t>Department of Energy: Financial Assistance to Establish and Support Manufacturing in the USA</t>
  </si>
  <si>
    <t>Div. A, sec. 1742</t>
  </si>
  <si>
    <t>Regional innovation program</t>
  </si>
  <si>
    <t>Div. B, sec. 703</t>
  </si>
  <si>
    <t>Network for manufacturing innovation program</t>
  </si>
  <si>
    <t>Nationwide media campaign to promote poison control center utilization, coordinated by the Health Resources and Services Administration</t>
  </si>
  <si>
    <t>Div. N, sec. 403</t>
  </si>
  <si>
    <t>Poison control center grant program run by the Health Resources and Services Administration</t>
  </si>
  <si>
    <t>Div. N, sec. 404(b)</t>
  </si>
  <si>
    <t>Development of a national strategy and support for regional centers of excellence in vector-borne diseases</t>
  </si>
  <si>
    <t>Div. N, sec. 404(c)</t>
  </si>
  <si>
    <t>Cooperative agreements through the Centers for Disease Control and Prevention to assist health departments in addressing vector-borne diseases</t>
  </si>
  <si>
    <t>Div. N, sec. 604(d)</t>
  </si>
  <si>
    <t>Transitional grants to states through the Substance Abuse and Mental Health Administration to assist in the compliance of the prohibition of the sale of tobacco products to individuals under the age of 21</t>
  </si>
  <si>
    <t>Div. I, sec. 912</t>
  </si>
  <si>
    <t>District of Columbia Opportunity Scholarships Program: tuition and fees for residents to attend private elementary or secondary schools</t>
  </si>
  <si>
    <t>Div. J, sec. 122</t>
  </si>
  <si>
    <t>Humanitarian relief in Venezuela</t>
  </si>
  <si>
    <t>Div. J, sec. 150</t>
  </si>
  <si>
    <t>Support for International Election Observation</t>
  </si>
  <si>
    <t>Div. J, sec. 161</t>
  </si>
  <si>
    <t>Coordinated sanctions strategy against Venezuela</t>
  </si>
  <si>
    <t>Div. J, sec. 206</t>
  </si>
  <si>
    <t>International Military Education and Training (IMET) asst for Greece</t>
  </si>
  <si>
    <t>IMET asst for Cyprus</t>
  </si>
  <si>
    <t>Div. J, sec. 207</t>
  </si>
  <si>
    <t>FMF financing for Greece NATO contributions</t>
  </si>
  <si>
    <t>Div. J, sec. 509</t>
  </si>
  <si>
    <t>State Prevention and Stabilization Fund -to support stabilization of conflict-affected areas and to mitigate fragility, including through the Global Fragility Strategy established pursuant to section 504, which shall replace the Relief and Recovery Fund.</t>
  </si>
  <si>
    <t>Complex Crises Fund</t>
  </si>
  <si>
    <t>Div. J, sec. 904(b)</t>
  </si>
  <si>
    <t>Debt Restructuring</t>
  </si>
  <si>
    <t>Div. P, sec. 301</t>
  </si>
  <si>
    <t>Monitoring, assessment, science, and research activities of the Great Lakes Basin.</t>
  </si>
  <si>
    <t>Div. P, sec. 309(2)</t>
  </si>
  <si>
    <t>Operations for the Environmental Dispute Resolution Fund and grants to pay for services of nonfederal entities in proceedings involving federal agencies' environmental conflict resolution</t>
  </si>
  <si>
    <t>For activities of the Udall Foundation</t>
  </si>
  <si>
    <t>Div. P, sec. 602</t>
  </si>
  <si>
    <t>John F. Kennedy Center for the Performing Arts: maintenance, repair, and security</t>
  </si>
  <si>
    <t>John F. Kennedy Center for the Performing Arts: capital projects</t>
  </si>
  <si>
    <t>Div. P, sec. 702</t>
  </si>
  <si>
    <t>American Battlefield acquisition grant program</t>
  </si>
  <si>
    <t>Div. P, sec. 703</t>
  </si>
  <si>
    <t>Battlefield Interpretation Modernization Grant Program</t>
  </si>
  <si>
    <t>American Battlefield Restoration Grant Program</t>
  </si>
  <si>
    <t>Div. C, sec. 205</t>
  </si>
  <si>
    <t>Madera Water Supply Enhancement Project, California</t>
  </si>
  <si>
    <t>Div. E</t>
  </si>
  <si>
    <t>The Export-Import Bank Reauthorization Title IV of Extensions: authority to enter into new direct loan obligations and new guaranteed limitations</t>
  </si>
  <si>
    <t>To reauthorize the West Valley demonstration project, and for other purposes</t>
  </si>
  <si>
    <t>West Valley demonstration project</t>
  </si>
  <si>
    <t>Columbia River In-Lieu and Treaty Fishing Access Sites Improvement Act</t>
  </si>
  <si>
    <t>For improvements to existing structures and infrastructure to improve sanitation and safety conditions and to improve access to electricity, sewer, and water infrastructure of the Columbia River</t>
  </si>
  <si>
    <t>Esther Martinez Native American Languages Programs Reauthorization Act</t>
  </si>
  <si>
    <t>Expansion of the language preservation program to ensure the survival and continuing vitality of Native American languages</t>
  </si>
  <si>
    <t>Debbie Smith Reauthorization Act of 2019</t>
  </si>
  <si>
    <t>Sec. 2(4)</t>
  </si>
  <si>
    <t>DNA analysis backlog elimination grants</t>
  </si>
  <si>
    <t>DNA training and education for law enforcement, correctional personnel, and court officers</t>
  </si>
  <si>
    <t>Securing American Nonprofit Organizations Against Terrorism Act of 2019</t>
  </si>
  <si>
    <t>Nonprofit Security Grant Program for target hardening and other security enhancements to protect against terrorist attacks</t>
  </si>
  <si>
    <t>Protecting America's Food and Agriculture Act of 2019</t>
  </si>
  <si>
    <t>Sec. 4(e)(1)</t>
  </si>
  <si>
    <t>Authorizes the appropriation of funds to hire CBP agriculture specialists</t>
  </si>
  <si>
    <t>Sec. 4(e)(2)</t>
  </si>
  <si>
    <t>Authorizes the appropriation of funds to hire CBP agriculture technicians</t>
  </si>
  <si>
    <t>Sec. 4(e)(3)</t>
  </si>
  <si>
    <t>Authorizes the appropriation of funds to hire CBP agriculture canine teams</t>
  </si>
  <si>
    <t>Sec. 4(e)(4)</t>
  </si>
  <si>
    <t>Authorizes the appropriation of funds to train CBP agriculture specialists, agriculture technicians, and agriculture canine teams</t>
  </si>
  <si>
    <t>Supporting Older Americans Act of 2020</t>
  </si>
  <si>
    <t>Administration on Aging: administration, salaries, and expenses</t>
  </si>
  <si>
    <t>Information and assistance services as priority services for older individuals, and develop and operate a National Eldercare Locator Service, providing information and assistance services through a nationwide toll-free number to identify community resources for older individuals</t>
  </si>
  <si>
    <t>Grants to eligible entities to establish and carry out pension counseling and information programs to provide outreach, information, counseling, referral, and other assistance regarding pension and other retirement benefits, and rights related to such benefits, to individuals in the United States</t>
  </si>
  <si>
    <t>Assistant Secretary for Elder Rights Support Activities</t>
  </si>
  <si>
    <t>Implementation and support of Aging and Disability Resource Centers in all states</t>
  </si>
  <si>
    <t>Grants for state and community programs on aging: supportive services, including health transportation and other services to aid in independent living or provide assistance in finding housing</t>
  </si>
  <si>
    <t>Grants for state and community programs on aging: congregate nutrition services</t>
  </si>
  <si>
    <t>Grants for state and community programs on aging: home delivered nutrition services</t>
  </si>
  <si>
    <t>Sec. 202(a)</t>
  </si>
  <si>
    <t>Grants for state and community programs on aging: disease prevention and health promotion services and information at multipurpose senior centers, at congregate meal sites, through home-delivered meals programs, or at other appropriate sites</t>
  </si>
  <si>
    <t>Grants for state and community programs on aging: payment of the federal share of state programs to enable area agencies on aging to provide systems of support services for family caregivers and for grandparents or older individuals who are relative caregivers</t>
  </si>
  <si>
    <t>Nutrition services incentive program: provide incentives to encourage and reward effective performance by States and tribal organizations in the efficient delivery of nutritious meals to older individuals</t>
  </si>
  <si>
    <t>Activities for health independence and longevity: aging network support activities</t>
  </si>
  <si>
    <t>Activities for health, independence and longevity: elder rights support activities</t>
  </si>
  <si>
    <t>Community Service Senior Opportunities Act: community service employment for older Americans in Department of Labor</t>
  </si>
  <si>
    <t>Grants for Native Americans: to promote the delivery of supportive services, including nutrition services, to American Indians, Alaskan Natives, and Native Hawaiians</t>
  </si>
  <si>
    <t>Grants for Native Americans: Native American Caregiver Support Program</t>
  </si>
  <si>
    <t>Allotments to establish and operate an Office of the State Long-Term Care Ombudsman and carry out through the Office a State Long-Term Care Ombudsman program</t>
  </si>
  <si>
    <t>Sec. 601(b)</t>
  </si>
  <si>
    <t>Allotments for state agencies to develop and enhance programs to address elder abuse, neglect, and exploitation and state legal assistance development and support to older individuals and the agencies that support them</t>
  </si>
  <si>
    <t>Coronavirus Aid, Relief, and Economic Security Act (the "CARES" Act)</t>
  </si>
  <si>
    <t>Sec. 3212(13)</t>
  </si>
  <si>
    <t>Telehealth network and telehealth resource centers grant program</t>
  </si>
  <si>
    <t>Sec. 3211(a)</t>
  </si>
  <si>
    <t>Community health center fund: supplemental mandatory funding for community health centers for detection of SARS-CoV-2 or the prevention, diagnosis, and treatment of COVID-19</t>
  </si>
  <si>
    <t>Div. A, sec. 3213(7)</t>
  </si>
  <si>
    <t>Rural health care programs, including grants for health care services outreach, rural health network development, and small health care provider quality improvement grant programs</t>
  </si>
  <si>
    <t>Sec. 3225(4)</t>
  </si>
  <si>
    <t>Healthy Start Initiative</t>
  </si>
  <si>
    <t>Sec. 3401(1)</t>
  </si>
  <si>
    <t>Centers of excellence: grants to health profession schools and other public and nonprofit entities to assist the schools in supporting programs of excellence in health professions education for under-represented minority individuals</t>
  </si>
  <si>
    <t>Sec. 3401(2)(a)</t>
  </si>
  <si>
    <t>Health care professionals training for diversity: to carry out 42 U.S.C. 293a grants for schools to award scholarships to any full-time student who is disadvantaged and has financial need</t>
  </si>
  <si>
    <t>Sec. 3401(2)(b)</t>
  </si>
  <si>
    <t>Health care professionals training for diversity: to carry out 42 U.S.C. 293b loan repayment by the federal government for each year individuals agree to serve as members of the faculties of schools, and grants and contracts with eligible entities to assist such entities in increasing the number of underrepresented minority individuals through fellowships</t>
  </si>
  <si>
    <t>Sec. 3401(2)(c)</t>
  </si>
  <si>
    <t>Health care professionals training for diversity: to carry out 42 U.S.C. 293c(a)(2)(F) grants for assisting individuals from disadvantaged backgrounds in meeting the costs of education to enter a health profession (Health Careers Opportunities Program)</t>
  </si>
  <si>
    <t>Sec. 3401(3)(c)</t>
  </si>
  <si>
    <t>Primary care training and enhancement: grants for financial assistance and training for medical students, interns, residents or practicing physicians; training of physicians who plan to teach or conduct research in primary care; planning, developing, and operating a physicians assistant education program; operating a demonstration program for training in new competencies; joint degree programs for graduate study</t>
  </si>
  <si>
    <t>Sec. 3401(6)</t>
  </si>
  <si>
    <t>Area health education centers: awards for infrastructure development and point-of-service maintenance and enhancement</t>
  </si>
  <si>
    <t>Div. A, sec. 3401(9)(a)</t>
  </si>
  <si>
    <t>National Center for Health Care Workforce Analysis</t>
  </si>
  <si>
    <t>Sec. 3403(6)(d)</t>
  </si>
  <si>
    <t>Education and Training Relating to Geriatrics: Geriatrics Workforce Enhancement Program receiving an award under this section shall support the training of health professionals in geriatrics, including traineeships or fellowships. Such programs shall emphasize, as appropriate, patient and family engagement, integration of geriatrics with primary care and other appropriate specialties, and collaboration with community partners to address gaps in health care for older adults.</t>
  </si>
  <si>
    <t>Sec. 3404(13)</t>
  </si>
  <si>
    <t>Nursing Workforce Development: grants and contracts for nurse practitioners, nurse midwives, nurse anesthetists, clinical nurse specialist, and other advanced education nurses (42 U.S.C. 296j); increasing nursing workforce diversity (42 U.S.C. 296m); and nurse education, practice, quality, and retention grants (42 U.S.C. 296p)</t>
  </si>
  <si>
    <t>Within the Health Resources Services Administration (1) student loan fund with schools of nursing (42 U.S.C. 297a) (2) loan repayment and scholarship programs in return for service in areas of critical shortage (42 U.S.C. 297n) (3) student loan fund with schools of nursing to increase the number of qualified nursing faculty (42 U.S.C. 297n-1) (4) eligible individual student loan repayment program to increase the number of qualified nursing faculty (42 U.S.C. 297o)</t>
  </si>
  <si>
    <t>Sec. 3401(4)(b)</t>
  </si>
  <si>
    <t>Training in general, pediatric, and public health dentistry: Grants or contracts with school of dentistry, public or nonprofit private hospital, or a public or private nonprofit entity for the purpose of planning, developing, and operating, or participating in, an approved professional training program in the field of general dentistry, pediatric dentistry, or public health dentistry for dental students, residents, practicing dentists, dental hygienists, or other approved primary care dental trainees, that emphasizes training for general, pediatric, or public health dentistry</t>
  </si>
  <si>
    <t>Sec. 3401(12)</t>
  </si>
  <si>
    <t>Public health traineeships: grants to accredited schools of public health, and to other public or nonprofit private institutions accredited for the provision of graduate or specialized training in public health, for the purpose of assisting such schools and institutions in providing traineeships to individuals</t>
  </si>
  <si>
    <t>Sec. 3401(13)</t>
  </si>
  <si>
    <t>Investment in tomorrow’s pediatric health care workforce: pediatric specialty loan repayment program under which the eligible individual agrees to be employed full-time for a specified period (which shall not be less than 2 years) in providing pediatric medical subspecialty, pediatric surgical specialty, or child and adolescent mental and behavioral health care, including substance abuse prevention and treatment services.</t>
  </si>
  <si>
    <t>Grants for training in general, pediatric, and public health dentistry, and for a loan repayment program</t>
  </si>
  <si>
    <t>Never Again Education Act</t>
  </si>
  <si>
    <t>Sec. 4(a)</t>
  </si>
  <si>
    <t>Requires U.S. Holocaust Memorial Museum to develop and disseminate accessible educational resources to improve awareness and understanding of the Holocaust.</t>
  </si>
  <si>
    <t>Continuing Appropriations Act, 2021 and Other Extensions Act</t>
  </si>
  <si>
    <t>Div. B, sec. 1101(b)</t>
  </si>
  <si>
    <t>General Fund Appropriations to the Highway Trust Fund</t>
  </si>
  <si>
    <t>Div. E, sec. 5105</t>
  </si>
  <si>
    <t>Grants for veterans service organizations to provide transportation for veterans living in highly rural areas</t>
  </si>
  <si>
    <t>Div. E, sec. 5106</t>
  </si>
  <si>
    <t>Pilot program on counseling in retreat settings for women veterans newly separated from service in the armed forces</t>
  </si>
  <si>
    <t>Div. E, sec. 5104</t>
  </si>
  <si>
    <t>Pilot program on assistance for child care for certain veterans receiving health care</t>
  </si>
  <si>
    <t>Div. B, sec. 1104</t>
  </si>
  <si>
    <t>Extending authority for DOT to provide direct loans and loan guarantees for rail-related projects</t>
  </si>
  <si>
    <t>Commander John Scott Hannon Veterans Mental Health Care Improvement Act of 2019</t>
  </si>
  <si>
    <t>Staff Sergeant Parker Gordon Fox Suicide Prevention Grant Program: The purpose of this section is to reduce veteran suicide through a community-based grant program to award grants to eligible entities to provide or coordinate suicide prevention services to eligible individuals and their families. There is $174,000,000 available for 5 years.</t>
  </si>
  <si>
    <t>Unassigned to Committee</t>
  </si>
  <si>
    <t>To extend the Undertaking Spam, Spyware, And Fraud Enforcement With Enforcers beyond Borders Act of 2006, and for other purposes.</t>
  </si>
  <si>
    <t>Extending the Undertaking Spam, Spyware, And Fraud Enforcement With Enforcers beyond Borders Act of 2006</t>
  </si>
  <si>
    <t>Native American Business Incubators Program Act</t>
  </si>
  <si>
    <t>For carrying out the Native American Business Incubators Program and provide financial assistance in the form of competitive grants to eligible applicants for the establishment and operation of business incubators that serve reservation communities</t>
  </si>
  <si>
    <t>To amend the Nutria Eradication and Control Act of 2003 to include California in the program, and for other purposes</t>
  </si>
  <si>
    <t>Sec. 1(a)</t>
  </si>
  <si>
    <t>Provides grant authority to a state affected by nutria; for financial assistance under this section, there is authorized to be appropriated to the Secretary $12,000,000 for each of fiscal years 2021 through 2025</t>
  </si>
  <si>
    <t>America’s Conservation Enhancement Act</t>
  </si>
  <si>
    <t>Authorizes $15 million a year for a grant program to compensate livestock producers in carrying out proactive and nonlethal activities to reduce the risk of livestock loss due to depredation by federally protected species on federal, state or private land</t>
  </si>
  <si>
    <t>Sec. 104(d)</t>
  </si>
  <si>
    <t>Chronic wasting disease task force</t>
  </si>
  <si>
    <t>Chronic wasting disease task force: United States Geological Survey and the Animal and Plant Health Inspection Service</t>
  </si>
  <si>
    <t>Protection of water, oceans, coasts, and wildlife from invasive species: Department of Interior</t>
  </si>
  <si>
    <t>Chesapeake Bay Program</t>
  </si>
  <si>
    <t>Chesapeake Bay Gateways Grant Assistance Program the Chesapeake Bay Initiative Act of 1998 (Public Law 105–312)</t>
  </si>
  <si>
    <t>Sec. 111(e)</t>
  </si>
  <si>
    <t>Establishes the Chesapeake Watershed Investments for Landscape Defense program</t>
  </si>
  <si>
    <t>Sec. 211(a)</t>
  </si>
  <si>
    <t>Fish habitat conservation projects approved under section 205(f), of which 5 percent is authorized only for projects carried out by Indian Tribes</t>
  </si>
  <si>
    <t>Sec. 212(a)</t>
  </si>
  <si>
    <t>An amount equal to 5 percent of the amount appropriated for fish Habitat conservation projects for administrative and planning expenses under this title; and (B) to carry out section 209.</t>
  </si>
  <si>
    <t>Technical and Scientific assistance to partnership and fish habitat conservations projects: Fish and Wildlife Service</t>
  </si>
  <si>
    <t>National fish and wildlife foundation: Department of Interior</t>
  </si>
  <si>
    <t>Wetlands conservation projects in the United States, Canada, and Mexico</t>
  </si>
  <si>
    <t>Technical and Scientific assistance to partnership and fish habitat conservations projects: National Oceanic and Atmospheric Administration</t>
  </si>
  <si>
    <t>Technical and Scientific assistance to partnership and fish habitat conservations projects: Environmental Protection Agency</t>
  </si>
  <si>
    <t>Technical and Scientific assistance to partnership and fish habitat conservations projects: Geological Survey</t>
  </si>
  <si>
    <t>Technical and Scientific assistance to partnership and fish habitat conservations projects: Forest Service</t>
  </si>
  <si>
    <t>Protection of water, oceans, coasts, and wildlife from invasive species: Army Corps</t>
  </si>
  <si>
    <t>National fish and wildlife foundation: Department of Agriculture</t>
  </si>
  <si>
    <t>National fish and wildlife foundation: Department of Commerce</t>
  </si>
  <si>
    <t>United States Grain Standards Reauthorization Act of 2020</t>
  </si>
  <si>
    <t>Reauthorization of the United States Grain Standards Act</t>
  </si>
  <si>
    <t>National Sea Grant College Program Amendments Act of 2020</t>
  </si>
  <si>
    <t>National Sea Grant College Program</t>
  </si>
  <si>
    <t>Digital Coast Act</t>
  </si>
  <si>
    <t>Sec. 4(g)</t>
  </si>
  <si>
    <t>Platform that integrates geospatial data, decision-support tools, training, and best practices to address coastal management issues and needs</t>
  </si>
  <si>
    <t>Save Our Seas 2.0 Act</t>
  </si>
  <si>
    <t>National Oceanic and Atmospheric Administration: marine debris prevention, removal, and information clearinghouse</t>
  </si>
  <si>
    <t>Sec. 118</t>
  </si>
  <si>
    <t>Marine Debris Foundation and Genius Prize For Save Our Seas Innovations</t>
  </si>
  <si>
    <t>Sec. 302(g)</t>
  </si>
  <si>
    <t>Post Consumer Materials Management Infrastructure Grant Program</t>
  </si>
  <si>
    <t>Drinking Water Infrastructure Grant Program</t>
  </si>
  <si>
    <t>Wastewater Infrastructure Grant Program</t>
  </si>
  <si>
    <t>Trash-Free Waters Grant Program</t>
  </si>
  <si>
    <t>Consolidated Appropriations Act, 2021</t>
  </si>
  <si>
    <t>Funding carbon monoxide alarms or detectors in federally assisted housing</t>
  </si>
  <si>
    <t>One Call Notification Programs</t>
  </si>
  <si>
    <t>Pipeline safety Emergency Response Grants to States, county, and local government in high consequence areas</t>
  </si>
  <si>
    <t>Div. S, sec. 103(h)(5)</t>
  </si>
  <si>
    <t>Environmental Protection Agency Small Business Grants for new specialized recycling, recovery, or reclamation of regulated substance under the American Innovation and Manufacturing Act of 2020</t>
  </si>
  <si>
    <t>Div. U, sec. 501(b)</t>
  </si>
  <si>
    <t>Council for Inspectors General Oversight.gov Revolving Fund</t>
  </si>
  <si>
    <t>Div. V, sec. 104(a)</t>
  </si>
  <si>
    <t>Federal Aviation Administration to recruit and retain technical experts who perform duties related to the certification of aircraft, aircraft engines, propellers, appliances, and new and emerging technologies, and perform other regulatory activities</t>
  </si>
  <si>
    <t>Div. V, sec. 107(a)</t>
  </si>
  <si>
    <t>Federal Aviation Administration Oversight of Organization Designation Authorization Unit Members</t>
  </si>
  <si>
    <t>Div. V, sec. 112(a)</t>
  </si>
  <si>
    <t>Authorization for FAA to provide certification personnel continuing education and training.</t>
  </si>
  <si>
    <t>Div. V, sec. 119(f)</t>
  </si>
  <si>
    <t>Federal Aviation Administration - Bilateral and Multilateral engagement and technical assistance, including the International Civil Aviation Organization</t>
  </si>
  <si>
    <t>Div. V, sec. 119(g)</t>
  </si>
  <si>
    <t>Federal Aviation Administration - Assistance to foreign aviation authorities</t>
  </si>
  <si>
    <t>Div. Z, sec. 1012</t>
  </si>
  <si>
    <t>Federal Energy Management Program</t>
  </si>
  <si>
    <t>Div. Z, sec. 1013</t>
  </si>
  <si>
    <t>CHP Technical Assistance Partnership Program</t>
  </si>
  <si>
    <t>Div. Z, sec. 2001</t>
  </si>
  <si>
    <t>Office of Nuclear Energy: Advanced Nuclear Fuel Availability Research and Development</t>
  </si>
  <si>
    <t>Div. Z, sec. 2003</t>
  </si>
  <si>
    <t>Stainability Program for Light Water Reactors</t>
  </si>
  <si>
    <t>Advanced Reactor Technologies</t>
  </si>
  <si>
    <t>Nuclear Integrated Energy Systems Research Development, Demonstration, and Commercial Application Program</t>
  </si>
  <si>
    <t>Department of Energy to conduct advanced fuel cycle research, development, demonstration, and commercial application to improve fuel cycle performance and minimize environmental and public health and safety impacts</t>
  </si>
  <si>
    <t>Department of Energy to conduct advance fuels research, demonstration, and commercial application program on next generation light water reactor and advanced reactor fuels</t>
  </si>
  <si>
    <t>For the Gandhi-King Scholarly Exchange Initiative, to the Secretary of State for each fiscal year</t>
  </si>
  <si>
    <t>For the Gandhi-King Global Academy to the United States Institute for Peace</t>
  </si>
  <si>
    <t>For the US-India Gandhi King Development Foundation to the United for International Development</t>
  </si>
  <si>
    <t>For the Office of the United States Special Coordinator for Tibetan Issues, for each fiscal year</t>
  </si>
  <si>
    <t>For the Tibetan Scholarship Program, for each fiscal year</t>
  </si>
  <si>
    <t>For the "Ngawang Choephel Exchange Programs" (programs of educational and cultural exchange between the United States and the people of Tibet), for each fiscal year</t>
  </si>
  <si>
    <t>For supporting activities for Tibetan communities in the Tibet Autonomous Region and in other Tibetan communities in China, for each fiscal year</t>
  </si>
  <si>
    <t>For programs to promote and preserve Tibetan culture and language development, and the resilience of Tibetan communities in India and Nepal, and to assist in the education and development of the next generation of Tibetan leaders from such communities, for each fiscal year</t>
  </si>
  <si>
    <t>For programs to strengthen the capacity of Tibetan institutions and strengthen democracy, governance, information and international outreach, and research, for each fiscal year</t>
  </si>
  <si>
    <t>For broadcasting "Voice of America", a radio show to provide uncensored news and information in the Tibetan language to Tibetans, including Tibetans in Tibet, for each fiscal year</t>
  </si>
  <si>
    <t>For broadcasting "Radio Free Asia", a radio show to provide uncensored news and information in the Tibetan language to Tibetans, including Tibetans in Tibet, for each fiscal year</t>
  </si>
  <si>
    <t>Div. FF, sec. 703</t>
  </si>
  <si>
    <t>For the awarding of the maximum Federal Pell Grant, the amount specified as the maximum in the last enacted appropriation Act applicable to that award year</t>
  </si>
  <si>
    <t>For the design, study, and construction of an aquatic ecosystem restoration and protection project in a Reclamation State to improve the health of fisheries, wildlife or aquatic habitat, including through habitat restoration and improved fish passage via the removal or bypass of barriers to fish passage.</t>
  </si>
  <si>
    <t>For the establishment of a Snow Water Supply Forecasting Program</t>
  </si>
  <si>
    <t>Sec. 10413</t>
  </si>
  <si>
    <t>Public Education Campaign through the Centers for Disease Control (CDC) to increase awareness by young women of breast health and cancer; health care professional education campaign through the CDC and Health Resources and Services Administration on young women's breast health and cancer; prevention research through the CDC on breast cancer in younger women; and, grants to provide health information to young women diagnosed with cancer and other pre-neoplastic diseases</t>
  </si>
  <si>
    <t>Div. R, sec. 101(a)</t>
  </si>
  <si>
    <t>Underground natural gas storage facility safety account (from fees)</t>
  </si>
  <si>
    <t>Div. R, sec. 101(b)</t>
  </si>
  <si>
    <t>Operational expenses of the Pipeline and Hazardous Materials Safety Administration</t>
  </si>
  <si>
    <t>Pipeline safety (includes funding from both fees and the Oil Spill Liability Trust Fund)</t>
  </si>
  <si>
    <t>Pipeline safety grants (includes funding from both fees and the Oil Spill Liability Trust Fund)</t>
  </si>
  <si>
    <t>Div. S, sec. 101</t>
  </si>
  <si>
    <t>Diesel emissions reduction programs through grants, rebates, and loan programs administered by the Administrator of the Environmental Protection Agency</t>
  </si>
  <si>
    <t>Div. V, sec. 131(d)</t>
  </si>
  <si>
    <t>National Air Grant Fellowship Program</t>
  </si>
  <si>
    <t>Div. Z, sec. 1011(a)</t>
  </si>
  <si>
    <t>Weatherization assistance for low-income persons</t>
  </si>
  <si>
    <t>Radiological Facilities Management</t>
  </si>
  <si>
    <t>Div. Z</t>
  </si>
  <si>
    <t>Integrated university program-$30 million for DOE (of which $15 million shall be used by the National Nuclear Security Administration) and $15 million for the Nuclear Regulatory Commission to support university research and development and a jointly implemented Nuclear Science and Engineering Grant Program</t>
  </si>
  <si>
    <t>Div. BB, sec. 301(a)</t>
  </si>
  <si>
    <t>Community health center fund: enhanced mandatory funding for community health centers</t>
  </si>
  <si>
    <t>Community health center fund: National Health Service Corps</t>
  </si>
  <si>
    <t>Div. BB, sec. 301(c)</t>
  </si>
  <si>
    <t>Program of payments to teaching health centers that operate graduate medical education programs</t>
  </si>
  <si>
    <t>Div. BB, sec. 311</t>
  </si>
  <si>
    <t>Public awareness campaign on the importance of vaccinations through the Centers for Disease Control and Prevention (42 U.S.C. 245), grants for research into prevention and control of diseases, demonstration projects, public information programs, education training and clinical skills for health professionals in disease prevention, and planning, implementation, and evaluation of activities to address vaccine-preventable diseases, (42 U.S.C. 247b(k), and programs and activities to collect, monitor, and analyze vaccination coverage data (42 U.S.C. 247b(n)).</t>
  </si>
  <si>
    <t>Div. BB, sec. 313</t>
  </si>
  <si>
    <t>Expanding capacity for health outcomes: award grants to expand the use of technology-enabled collaborative learning and capacity building models, to improve retention of health care providers and increase access to health care services, for specialty care in rural areas, frontier areas, health professional shortage areas, or medically underserved areas and for medically underserved populations or Native Americans</t>
  </si>
  <si>
    <t>Div. BB, sec. 314</t>
  </si>
  <si>
    <t>Public health data system modernization for the Centers for Disease Control and Prevention: expand, modernize, improve, and sustain public health data systems including with respect to the interoperability and improvement of such systems, including preparedness for, prevention and detection of, and response to public health emergencies ‘‘(B) award grants or cooperative agreements to State,</t>
  </si>
  <si>
    <t>Rare Earth elements research and development program</t>
  </si>
  <si>
    <t>US Construction of the ITER International Fusion Energy Organization (Fusion Energy Research)</t>
  </si>
  <si>
    <t>Geothermal Energy Systems: Frontier Observatory for Research in Geothermal Energy (FORGE) activities</t>
  </si>
  <si>
    <t>Geothermal Energy Systems: Enhanced Geothermal Systems Research and Development</t>
  </si>
  <si>
    <t>Veterans Health Research and Development using artificial intelligence and high-performance computing to improve health outcomes</t>
  </si>
  <si>
    <t>Research program on Low Dose Radiation</t>
  </si>
  <si>
    <t>Sec. 4(c)(1)</t>
  </si>
  <si>
    <t>Reauthorization to promote democracy and civil society in Belarus</t>
  </si>
  <si>
    <t>Div. BB, sec. 115</t>
  </si>
  <si>
    <t>Grants to eligible States to establish a State All Payer Claims Database and to improve an existing State All Payer Claims Databases.</t>
  </si>
  <si>
    <t>Creation of a committee to advise on a standardized reporting format for the State All Payer Claims Database and provide guidance to States on the process of data collection.</t>
  </si>
  <si>
    <t>Div. FF, sec. 1107(b)</t>
  </si>
  <si>
    <t>Cooperative watershed management program - grants to form or enlarge watershed groups and conduct projects in accordance with the goals of the watershed group and may involve any agency with water management concerns, but specifically mentions USGS</t>
  </si>
  <si>
    <t>Div. FF, sec. 1103(g)(2)</t>
  </si>
  <si>
    <t>Title VI Aamodt Litigation Settlement; plan, design, construct Regional Water System and conduct environmental compliance</t>
  </si>
  <si>
    <t>Div. FF, sec. 1112</t>
  </si>
  <si>
    <t>Desalination demonstration and development</t>
  </si>
  <si>
    <t>Div. AA, sec. 509(b)(6)</t>
  </si>
  <si>
    <t>Fish and Wildlife Service Asian Carp Eradication Program</t>
  </si>
  <si>
    <t>Div. AA, sec. 104</t>
  </si>
  <si>
    <t>Additional measures at donor ports and energy transfer ports</t>
  </si>
  <si>
    <t>Pilot program to evaluate the cost-effectiveness and project delivery efficiency of allowing non-Federal interests to carry out flood risk management, hurricane and storm damage reduction, coastal harbor and channel inland navigation, and aquatic ecosystem restoration projects</t>
  </si>
  <si>
    <t>Div. AA, sec. 151</t>
  </si>
  <si>
    <t>High water-low water preparedness</t>
  </si>
  <si>
    <t>Div. AA, sec. 155</t>
  </si>
  <si>
    <t>Small water storage projects</t>
  </si>
  <si>
    <t>Div. AA, sec. 165(b)(1)</t>
  </si>
  <si>
    <t>Emergency streamline and shoreline protection</t>
  </si>
  <si>
    <t>Div. AA, sec. 165(b)(2)</t>
  </si>
  <si>
    <t>Storm and hurricane restoration and impact minimization program</t>
  </si>
  <si>
    <t>Div. AA, sec. 165(b)(3)</t>
  </si>
  <si>
    <t>Small river and harbor improvement projects</t>
  </si>
  <si>
    <t>Div. AA, sec. 165(b)(4)</t>
  </si>
  <si>
    <t>Regional sediment management</t>
  </si>
  <si>
    <t>Div. AA, sec. 165(b)(5)</t>
  </si>
  <si>
    <t>Small flood control projects</t>
  </si>
  <si>
    <t>Div. AA, sec. 165(b)(6)</t>
  </si>
  <si>
    <t>Aquatic ecosystem restoration</t>
  </si>
  <si>
    <t>Div. AA, sec. 165(b)(7)</t>
  </si>
  <si>
    <t>Removal of obstructions; clearing channels</t>
  </si>
  <si>
    <t>Div. AA, sec. 165(b)(8)</t>
  </si>
  <si>
    <t>Project modifications for improvement of environment</t>
  </si>
  <si>
    <t>Sec. 1132</t>
  </si>
  <si>
    <t>Rehabilitation of Corps of Engineers constructed dams that were constructed before 1940, are classified as ‘‘high hazard potential’’, and are operated by a non-Federal entity</t>
  </si>
  <si>
    <t>Rio Grande environmental management program in Colorado, New Mexico, and Texas</t>
  </si>
  <si>
    <t>Div. AA, sec. 507</t>
  </si>
  <si>
    <t>Invasive species in alpine lakes pilot program</t>
  </si>
  <si>
    <t>Div. AA, sec. 508</t>
  </si>
  <si>
    <t>Murder hornet eradication pilot program</t>
  </si>
  <si>
    <t>Div. AA, sec. 510</t>
  </si>
  <si>
    <t>Invasive species in noncontiguous states and territories pilot program</t>
  </si>
  <si>
    <t>Div. AA, sec. 511((a))</t>
  </si>
  <si>
    <t>Installation of a network of soil moisture and plains snowpack monitoring stations or the modification of existing stations in the Upper Missouri River Basin</t>
  </si>
  <si>
    <t>Div. AA, sec. 505</t>
  </si>
  <si>
    <t>Invasive species management pilot program</t>
  </si>
  <si>
    <t>Invasive species partnerships</t>
  </si>
  <si>
    <t>Nuclear energy graduate traineeship subprogram</t>
  </si>
  <si>
    <t>University Nuclear Leadership Program-funding for the NRC</t>
  </si>
  <si>
    <t>Department of Energy nuclear research infrastructure and facilities</t>
  </si>
  <si>
    <t>Div. Z, sec. 2008</t>
  </si>
  <si>
    <t>Fusion energy research</t>
  </si>
  <si>
    <t>Div. Z, sec. 3001</t>
  </si>
  <si>
    <t>Water power research and development</t>
  </si>
  <si>
    <t>Geothermal energy (includes amount for International Geothermal Energy Development, Frontier Observatory for Research in Geothermal Energy, and Enhanced Geothermal Systems Research and Development)</t>
  </si>
  <si>
    <t>Div. Z, sec. 3003</t>
  </si>
  <si>
    <t>Wind energy research and development</t>
  </si>
  <si>
    <t>Div. Z, sec. 3004</t>
  </si>
  <si>
    <t>Solar energy research and development</t>
  </si>
  <si>
    <t>Div. Z, sec. 3201((g)(1))</t>
  </si>
  <si>
    <t>Energy storage system research, development, and deployment program</t>
  </si>
  <si>
    <t>Div. Z, sec. 3201((g)(2))</t>
  </si>
  <si>
    <t>Energy storage demonstration projects; pilot grant program authorized under section 3201(c) of the Energy Act of 2020 (42 USC 17232(c))</t>
  </si>
  <si>
    <t>Div. Z, sec. 3201((g)(3))</t>
  </si>
  <si>
    <t>Long-duration demonstration initiative and joint program with the Department of Defense; demonstration projects focused on the development of long-duration energy storage technologies authorized under section 3201(d) of the Energy Act of 2020 (42 USC 17232(d))</t>
  </si>
  <si>
    <t>Div. Z, sec. 3202</t>
  </si>
  <si>
    <t>Energy storage technology and microgrid assistance program</t>
  </si>
  <si>
    <t>Div. Z, sec. 4002</t>
  </si>
  <si>
    <t>Carbon capture technology research and development program</t>
  </si>
  <si>
    <t>Carbon capture technology large-scale pilot projects</t>
  </si>
  <si>
    <t>Carbon capture technology demonstration projects</t>
  </si>
  <si>
    <t>Carbon capture technology front-end engineering and design program</t>
  </si>
  <si>
    <t>Carbon capture test centers</t>
  </si>
  <si>
    <t>Div. Z, sec. 4005</t>
  </si>
  <si>
    <t>High efficiency turbines</t>
  </si>
  <si>
    <t>Div. Z, sec. 4008</t>
  </si>
  <si>
    <t>Produced water research and development</t>
  </si>
  <si>
    <t>Div. Z, sec. 5001</t>
  </si>
  <si>
    <t>Carbon removal</t>
  </si>
  <si>
    <t>Div. Z, sec. 6003</t>
  </si>
  <si>
    <t>Demonstration projects that test and validate industrial emissions reduction technologies</t>
  </si>
  <si>
    <t>Div. Z, sec. 7002((g))</t>
  </si>
  <si>
    <t>Minerals Security- Research on, and development, demonstration, and commercialization of recycling, innovation, and efficiency of, and alternatives to critical materials</t>
  </si>
  <si>
    <t>Div. Z, sec. 7002((h))</t>
  </si>
  <si>
    <t>Design and construction of a Critical Materials Supply Chain Research Facility</t>
  </si>
  <si>
    <t>Div. Z, sec. 7002(l)</t>
  </si>
  <si>
    <t>National geological and geophysical data preservation program</t>
  </si>
  <si>
    <t>Div. Z, sec. 7002(o)</t>
  </si>
  <si>
    <t>Mineral security</t>
  </si>
  <si>
    <t>Div. Z, sec. 8012((b)(1))</t>
  </si>
  <si>
    <t>Smart grid regional demonstration initiative; smart grid modeling, visualization, architecture, and controls; advisory committee on smart grid modernization; and coordination of efforts on smart grid modernization</t>
  </si>
  <si>
    <t>Div. Z, sec. 8012((b)(2))</t>
  </si>
  <si>
    <t>Technology demonstration on the distribution grid; voluntary model pathways for modernizing the electric grid; performance metrics for electricity infrastructure providers; voluntary state, regional, and local electricity distribution planning; and micro-grid and integrated micro-grid systems program</t>
  </si>
  <si>
    <t>Div. Z, sec. 8012((b)(3))</t>
  </si>
  <si>
    <t>Research, development, and demonstration program to develop cost-effective integrated energy systems</t>
  </si>
  <si>
    <t>Div. Z, sec. 8012((b)(4))</t>
  </si>
  <si>
    <t>Research and development into integrating renewable energy onto the electric grid and research and development into integrating electric vehicles onto the electric grid</t>
  </si>
  <si>
    <t>Div. Z, sec. 8013((c))</t>
  </si>
  <si>
    <t>Department of Energy Indian energy education planning and management assistance program</t>
  </si>
  <si>
    <t>Div. Z, sec. 9008</t>
  </si>
  <si>
    <t>Collaborative research program between Veterans Affairs and the Department of Energy in artificial intelligence and high-performance computing, focused on the development of tools to solve large-scale data analytics and management challenges associated with veteran’s healthcare, and to support the efforts of the Department of Veterans Affairs to identify potential health risks and challenges utilizing data on long-term healthcare, health risks, and genomic data collected from veteran populations.</t>
  </si>
  <si>
    <t>Div. Z, sec. 9008((c))</t>
  </si>
  <si>
    <t>Research, development, and demonstration activities to develop tools to apply to big data that enable Federal agencies, institutions of higher education, nonprofit research organizations, and industry to better leverage the capabilities of the Department of Energy to solve complex, big data challenges.</t>
  </si>
  <si>
    <t>Div. Z, sec. 9009</t>
  </si>
  <si>
    <t>Research, development, demonstration, and commercial application activities within the Department of Energy’s Offices of Hydrogen and Fuel Cell Technologies, Vehicle Technologies, and Bioenergy Technologies on sustainable transportation</t>
  </si>
  <si>
    <t>Div. Z, sec. 9010</t>
  </si>
  <si>
    <t>Administrative expenses for Title XVII loan program</t>
  </si>
  <si>
    <t>Div. Z, sec. 10001(g)</t>
  </si>
  <si>
    <t>Advanced Research Projects Agency-Energy (ARPA-E)</t>
  </si>
  <si>
    <t>Sec. 8013</t>
  </si>
  <si>
    <t>Indian energy resource development and assistance grants</t>
  </si>
  <si>
    <t>Indian Community Economic Enhancement Act of 2020</t>
  </si>
  <si>
    <t>Native American programs to promote the economic and social self-sufficiency of tribes through the Administration for Native Americans and partnered with the Children and Family Services Programs</t>
  </si>
  <si>
    <t>Coordinated Ocean Observations and Research Act of 2020</t>
  </si>
  <si>
    <t>For the Under Secretary of Commerce for Oceans and Atmosphere to establish a National Water Center</t>
  </si>
  <si>
    <t>For the Secretary of Commerce to establish an integrated coastal and ocean observation system</t>
  </si>
  <si>
    <t>Scarlett's Sunshine on Sudden Unexpected Death Act</t>
  </si>
  <si>
    <t>To address sudden unexpected infant death and sudden unexpected death in childhood, for each fiscal year</t>
  </si>
  <si>
    <t>Crisis Stabilization and Community Reentry Act of 2020</t>
  </si>
  <si>
    <t>Authorizes the appropriation of funds to establish a crisis stabilization and community reentry grant program</t>
  </si>
  <si>
    <t>National Defense Authorization Act for Fiscal Year 2021</t>
  </si>
  <si>
    <t>Div. A, sec. 1280a</t>
  </si>
  <si>
    <t>Department of Energy Artificial Intelligence Research</t>
  </si>
  <si>
    <t>Div. A, sec. 338(c)(4)</t>
  </si>
  <si>
    <t>Research grants to fund a study by the National Institute for Standards and Technology on perfluoroalkyl and polyfluoroalkyl substances (PFAS)</t>
  </si>
  <si>
    <t>Tanker Fleet Security</t>
  </si>
  <si>
    <t>Financial Crimes Enforcement Network</t>
  </si>
  <si>
    <t>Kleptocracy Asset Recovery Rewards Pilot</t>
  </si>
  <si>
    <t>Div. A, sec. 338(b)(4)</t>
  </si>
  <si>
    <t>Funding for a study on the protection of firefighters regarding perfluoroalkyl and polyfluoroalkyl substances</t>
  </si>
  <si>
    <t>Cooperative Health Projects With Israel</t>
  </si>
  <si>
    <t>United States-Israel Energy Center</t>
  </si>
  <si>
    <t>United States-Israel Strategic Partnership Act</t>
  </si>
  <si>
    <t>Open Technology Fund</t>
  </si>
  <si>
    <t>National Oceanic and Atmospheric Administration (NOAA) Center for Artificial Intelligence</t>
  </si>
  <si>
    <t>Div. E, sec. 5401(g)</t>
  </si>
  <si>
    <t>National Science Foundation (NSF) Research on Artificial Intelligence</t>
  </si>
  <si>
    <t>For Fishing Safety Training grants</t>
  </si>
  <si>
    <t>For activities relating to Fishing Safety Training grants</t>
  </si>
  <si>
    <t>Federal Maritime Commission</t>
  </si>
  <si>
    <t>Department of Agriculture Farm and Ranch Mental Health</t>
  </si>
  <si>
    <t>STORM ACT</t>
  </si>
  <si>
    <t>Authorizes the appropriation of funds for FEMA to provide grants to states for disaster relief</t>
  </si>
  <si>
    <t>Young Fishermen's Development Act</t>
  </si>
  <si>
    <t>Authorizes the appropriation of money for grants for the next generation of fishermen</t>
  </si>
  <si>
    <t>Great Lakes Restoration Initiative Act of 2019</t>
  </si>
  <si>
    <t>Great Lakes Restoration Initiative</t>
  </si>
  <si>
    <t>Johnny Isakson and David P. Roe, M.D. Veterans Health Care and Benefits Improvement Act of 2020</t>
  </si>
  <si>
    <t>Sec. 5202</t>
  </si>
  <si>
    <t>For Primary Care and Emergency Care Clinicians in Women Veterans Health Care Mini-Residency Program, for each fiscal year</t>
  </si>
  <si>
    <t>National Landslide Preparedness Act</t>
  </si>
  <si>
    <t>Authorizes the appropriation of funds for the US Geological Survey</t>
  </si>
  <si>
    <t>Authorizes the appropriation of funds for the National Science Foundation</t>
  </si>
  <si>
    <t>Authorizes the appropriation of funds for the National Oceanic and Atmospheric Administration</t>
  </si>
  <si>
    <t>Authorizes the appropriation of funds for grant research on 3D elevation data</t>
  </si>
  <si>
    <t>Lifespan Respite Care Reauthorization Act of 2020</t>
  </si>
  <si>
    <t>Sec. 2905</t>
  </si>
  <si>
    <t>Grants or cooperative agreements to expand and enhance respite care services to family caregivers; improve statewide dissemination and coordination of respite care; provide, supplement, or improve access and quality of respite care for caregivers</t>
  </si>
  <si>
    <t>Protect and Restore America's Estuaries Act</t>
  </si>
  <si>
    <t>The act authorizes appropriations to the EPA for expenses relating to the administration of grants and awards under the National Estuary Program for fiscal years 2021 through 2026</t>
  </si>
  <si>
    <t>Act to reauthorize the Stem Cell Therapeutic and Research Act of 2005</t>
  </si>
  <si>
    <t>C.W. Bill Young Cell Transplantation Program, through the Administrator of the Health Resources and Services Administration (successor to the National Bone Marrow Donor Registry)</t>
  </si>
  <si>
    <t>The National Cord Blood Inventory program (42 U.S.C. 274(k))</t>
  </si>
  <si>
    <t>Sgt. Ketchum Rural Veterans Mental Health Act of 2021</t>
  </si>
  <si>
    <t>Establishes three new VA centers for the Rural Access Network Growth Enhancement (RANGE) Program</t>
  </si>
  <si>
    <t>Infrastructure Investment and Jobs Act</t>
  </si>
  <si>
    <t>Div. B, sec. 21202(m)</t>
  </si>
  <si>
    <t>Department of Transportation's national infrastructure project assistance grants for eligible infrastructure projects.</t>
  </si>
  <si>
    <t>Div. J, sec. 614(a)</t>
  </si>
  <si>
    <t>Div. J, sec. 614(b)</t>
  </si>
  <si>
    <t>Environmental Protection Agency water pollution control revolving fund grants to states (Clean Water State Revolving Fund)</t>
  </si>
  <si>
    <t>Div. F, sec. 60307(c)</t>
  </si>
  <si>
    <t>DOC OIG oversight of activities authorized in Title III (Digital Equity Act of 2021).</t>
  </si>
  <si>
    <t>Div. F, sec. 60401(h)</t>
  </si>
  <si>
    <t>DOC Middle Mile broadband deployment grants</t>
  </si>
  <si>
    <t>Div. K, sec. 100708</t>
  </si>
  <si>
    <t>Minority Business Development Agency</t>
  </si>
  <si>
    <t>Div. E, sec. 50210(b)</t>
  </si>
  <si>
    <t>Div. E, sec. 50213(f)</t>
  </si>
  <si>
    <t>Water Data Sharing Pilot Program</t>
  </si>
  <si>
    <t>Div. E, sec. 50217(b)(4)</t>
  </si>
  <si>
    <t>Centers of Excellence for Stormwater Control Infrastructure Technologies grants</t>
  </si>
  <si>
    <t>Div. E, sec. 50217(e)</t>
  </si>
  <si>
    <t>Grants for Stormwater Infrastructure Technology</t>
  </si>
  <si>
    <t>Div. E, sec. 50222</t>
  </si>
  <si>
    <t>Enhanced Aquifer Use and Recharge</t>
  </si>
  <si>
    <t>Div. E, sec. 50101(4)</t>
  </si>
  <si>
    <t>Technical assistance to small public water systems</t>
  </si>
  <si>
    <t>Div. E, sec. 50101(3)</t>
  </si>
  <si>
    <t>Grants to states or publicly owned water systems to assist in responding to and alleviating any emergency situation affecting public water systems</t>
  </si>
  <si>
    <t>Div. E, sec. 50104(a)(4)</t>
  </si>
  <si>
    <t>Grants to small and disadvantaged communities to carry out projects and activities to assist public water systems in meeting specific requirements</t>
  </si>
  <si>
    <t>Div. E, sec. 50104(a)(5)</t>
  </si>
  <si>
    <t>Grants to states to address contaminants in drinking water in underserved communities or for the purpose of increasing resilience to natural hazards</t>
  </si>
  <si>
    <t>Div. E, sec. 50104(b)</t>
  </si>
  <si>
    <t>For competitive grant program to eligible entities to provide funds to assist eligible individuals in covering the costs incurred by the eligible individual in connecting the household of the eligible individual to a public water system</t>
  </si>
  <si>
    <t>Div. E, sec. 50104(c)</t>
  </si>
  <si>
    <t>State Competitive grants for underserved communities</t>
  </si>
  <si>
    <t>Div. E, sec. 50106</t>
  </si>
  <si>
    <t>Operational sustainability of small public water systems</t>
  </si>
  <si>
    <t>Div. E, sec. 50107</t>
  </si>
  <si>
    <t>Midsize and large drinking water system infrastructure resilience and sustainability program</t>
  </si>
  <si>
    <t>Div. E, sec. 50202</t>
  </si>
  <si>
    <t>Wastewater efficiency grant pilot program</t>
  </si>
  <si>
    <t>Div. E, sec. 50204(3)</t>
  </si>
  <si>
    <t>For the Administrator of the Environmental Protection Agency to make grants to States for the purpose of providing grants to a municipality or municipal entity for planning, design, and construction of treatment works to intercept, transport, control, or treat municipal combined sewer overflows and sanitary sewer overflows</t>
  </si>
  <si>
    <t>Div. E, sec. 50205</t>
  </si>
  <si>
    <t>For grants to support the clean water infrastructure resiliency and sustainability program</t>
  </si>
  <si>
    <t>Div. E, sec. 50206</t>
  </si>
  <si>
    <t>Small and medium publicly owned treatment works circuit rider program</t>
  </si>
  <si>
    <t>Div. E, sec. 50208</t>
  </si>
  <si>
    <t>Grants for construction and refurbishing of individual household decentralized wastewater systems for individuals with low or moderate income</t>
  </si>
  <si>
    <t>Div. E, sec. 50209</t>
  </si>
  <si>
    <t>Competitive grant program for eligible entities to provide funds to assist qualified individuals in covering the costs incurred by the qualified individual in connecting the household of the qualified individual to a publicly owned treatment works</t>
  </si>
  <si>
    <t>Div. E, sec. 50211</t>
  </si>
  <si>
    <t>For the Administrator of the Environmental Protections Agency to establish a grant program to encourage workforce development and career opportunities in the water utility sector, and to expand public awareness about water utilities</t>
  </si>
  <si>
    <t>Div. E, sec. 50212</t>
  </si>
  <si>
    <t>For the Administrator of the Environmental Protection Agency to make grants to the State of Alaska to pay the federal share of the cost of the development and construction of public water and wastewater systems to improve the health and sanitation conditions in villages and for training, technical assistance, and educational programs relating to the operation and management of sanitation services in rural and native villages</t>
  </si>
  <si>
    <t>Div. E, sec. 50215(a)(1)</t>
  </si>
  <si>
    <t>Innovative financing projects for water infrastructure</t>
  </si>
  <si>
    <t>Div. E, sec. 50221(d)</t>
  </si>
  <si>
    <t>Water resources research and technology</t>
  </si>
  <si>
    <t>Div. E, sec. 50221(e)</t>
  </si>
  <si>
    <t>Research by institutes on regional or interstate water problems</t>
  </si>
  <si>
    <t>Div. E, sec. 50105</t>
  </si>
  <si>
    <t>Grants to provide assistance to eligible entities for lead reduction projects in the United States</t>
  </si>
  <si>
    <t>Div. E, sec. 50110</t>
  </si>
  <si>
    <t>Grants available to states to assist local educational agencies in voluntary testing for lead contamination in drinking water at schools and child care programs under the jurisdiction of the local educational agencies</t>
  </si>
  <si>
    <t>Div. E, sec. 50111</t>
  </si>
  <si>
    <t>Indian reservation drinking water program</t>
  </si>
  <si>
    <t>Div. E, sec. 50112</t>
  </si>
  <si>
    <t>To study advanced drinking water technologies including technology that could address cybersecurity vulnerabilities, that enhances or could enhance the treatment, monitoring, affordability, efficiency, and safety of drinking water provided by a public water system</t>
  </si>
  <si>
    <t>Div. E, sec. 50201(a)(2)</t>
  </si>
  <si>
    <t>For the Administrator of the Environmental Protection Agency to make grants for pollution research, make grants to non-profit organizations for technical assistance and informational campaigns about wastewater treatment, and treatment works pilot training programs, employment needs forecasting, training projects and grants, research fellowships, technical training, and report to the President and transmittal to Congress, under the Federal Water Pollution Control Act</t>
  </si>
  <si>
    <t>Div. E, sec. 50203</t>
  </si>
  <si>
    <t>Pilot program for alternative water source projects</t>
  </si>
  <si>
    <t>Div. D, sec. 40101(j)</t>
  </si>
  <si>
    <t>Grants to eligible entities, States, and Indian Tribes to carry out activities that are supplemental to existing grid hardening efforts of the eligible entity planned for any given year, reduce the risk of any power lines owned or operated by the eligible entity causing a wildfire, or increase the ability of the eligible entity to reduce the likelihood and consequences of disruptive grid events</t>
  </si>
  <si>
    <t>Div. D, sec. 40103(b)(7)</t>
  </si>
  <si>
    <t>Federal financial assistance for the "Program Upgrading Our Electric Grid and Ensuring Reliability and Resiliency"</t>
  </si>
  <si>
    <t>Div. D, sec. 40103(c)(4)</t>
  </si>
  <si>
    <t>Energy improvement in rural or remote areas</t>
  </si>
  <si>
    <t>Div. D, sec. 40106(d)(3)</t>
  </si>
  <si>
    <t>Transmission facilitation program</t>
  </si>
  <si>
    <t>Div. D, sec. 40107(b)</t>
  </si>
  <si>
    <t>Deployment of technologies to enhance grid flexibility</t>
  </si>
  <si>
    <t>Div. D, sec. 40109(c)</t>
  </si>
  <si>
    <t>State energy program</t>
  </si>
  <si>
    <t>Div. D, sec. 40124(f)</t>
  </si>
  <si>
    <t>Rural and Municipal Utility Advanced Cybersecurity Grant and Technical Assistance Program</t>
  </si>
  <si>
    <t>Div. D, sec. 40125(b)(2)</t>
  </si>
  <si>
    <t>Cybersecurity for the energy sector research, development, and demonstration program</t>
  </si>
  <si>
    <t>Div. D, sec. 40125(c)(2)</t>
  </si>
  <si>
    <t>Energy sector operational support for cyberresilience program</t>
  </si>
  <si>
    <t>Div. D, sec. 40125(d)(5)</t>
  </si>
  <si>
    <t>Modeling and assessing energy infrastructure risk</t>
  </si>
  <si>
    <t>Div. D, sec. 40201(h)</t>
  </si>
  <si>
    <t>Earth mapping resources initiative</t>
  </si>
  <si>
    <t>Div. D, sec. 40204(f)</t>
  </si>
  <si>
    <t>USGS energy and minerals research facility</t>
  </si>
  <si>
    <t>Div. D, sec. 40205</t>
  </si>
  <si>
    <t>Rare earth elements demonstration facility</t>
  </si>
  <si>
    <t>Div. D, sec. 40207(b)(4)</t>
  </si>
  <si>
    <t>Battery material processing grants</t>
  </si>
  <si>
    <t>Div. D, sec. 40207(c)(4)</t>
  </si>
  <si>
    <t>Battery manufacturing and recycling grants</t>
  </si>
  <si>
    <t>Div. D, sec. 40207(e)(2)</t>
  </si>
  <si>
    <t>Lithium-ion battery recycling prize competition</t>
  </si>
  <si>
    <t>Div. D, sec. 40207(f)(2D)</t>
  </si>
  <si>
    <t>Battery recycling research, development, and demonstration grants</t>
  </si>
  <si>
    <t>Div. D, sec. 40207(f)(3D)</t>
  </si>
  <si>
    <t>Competitive grants to States and units of local government to assist in the establishment or enhancement of State battery collection, recycling, and reprocessing programs</t>
  </si>
  <si>
    <t>Div. D, sec. 40207(f)(4C)</t>
  </si>
  <si>
    <t>Competitive grants to retailers that sell covered batteries or covered battery-containing products to establish and implement a system for the acceptance and collection of covered batteries and covered battery-containing products, as applicable, for reuse, recycling, or proper disposal</t>
  </si>
  <si>
    <t>Div. D, sec. 40209(h)</t>
  </si>
  <si>
    <t>Advanced energy manufacturing and recycling grant program</t>
  </si>
  <si>
    <t>Div. D, sec. 40210(d)(7)</t>
  </si>
  <si>
    <t>Grant program to finance pilot projects for the processing or recycling of critical minerals in the United States; or the development of critical minerals and metals in the United States</t>
  </si>
  <si>
    <t>Div. D, sec. 40302</t>
  </si>
  <si>
    <t>Carbon utilization program</t>
  </si>
  <si>
    <t>Div. D, sec. 40208</t>
  </si>
  <si>
    <t>Electric drive vehicle battery recycling and second-life applications program</t>
  </si>
  <si>
    <t>Div. D, sec. 40303</t>
  </si>
  <si>
    <t>Front-end engineering and design program for carbon dioxide transport infrastructure necessary to enable deployment of carbon capture, utilization, and storage technologies</t>
  </si>
  <si>
    <t>Div. D, sec. 40304</t>
  </si>
  <si>
    <t>Carbon dioxide transportation infrastructure finance and innovation program (CIFIA)</t>
  </si>
  <si>
    <t>Div. D, sec. 40305</t>
  </si>
  <si>
    <t>Carbon storage validation and testing</t>
  </si>
  <si>
    <t>Div. D, sec. 40306(b)</t>
  </si>
  <si>
    <t>Permitting of Class VI wells by the Administrator (EPA) for the injection of carbon dioxide for the purpose of geologic sequestration</t>
  </si>
  <si>
    <t>Div. D, sec. 40306(c)(3)</t>
  </si>
  <si>
    <t>Grants to States that receive the approval of the Administrator (EPA) for a State underground injection control program for permitting Class VI wells for the injection of carbon dioxide</t>
  </si>
  <si>
    <t>Div. D, sec. 40308</t>
  </si>
  <si>
    <t>Funding for eligible projects that contribute to the development of four regional direct air capture hubs</t>
  </si>
  <si>
    <t>Div. D, sec. 40314</t>
  </si>
  <si>
    <t>A program to support the development of at least four regional clean hydrogen hubs</t>
  </si>
  <si>
    <t>Multiyear grants to eligible entities for research, development, and demonstration projects to advance new clean hydrogen production, processing, delivery, storage, and use equipment manufacturing technologies and techniques and to create innovative and practical approaches to increase the reuse and recycling of clean hydrogen technologies</t>
  </si>
  <si>
    <t>Research, development, demonstration, commercialization, and deployment program for purposes of commercialization to improve the efficiency, increase the durability, and reduce the cost of producing clean hydrogen using electrolyzers</t>
  </si>
  <si>
    <t>Div. D, sec. 40323(i)</t>
  </si>
  <si>
    <t>Civil nuclear credit program to evaluate nuclear reactors that are projected to cease operations due to economic factors; and to allocate credits to certified nuclear reactors</t>
  </si>
  <si>
    <t>Div. D, sec. 40331</t>
  </si>
  <si>
    <t>Hydroelectric production incentives</t>
  </si>
  <si>
    <t>Div. D, sec. 40332(a)</t>
  </si>
  <si>
    <t>Hydroelectric efficiency improvement incentive payments</t>
  </si>
  <si>
    <t>Div. D, sec. 40333</t>
  </si>
  <si>
    <t>Incentive payments to the owners or operators of qualified hydroelectric facilities for capital improvements</t>
  </si>
  <si>
    <t>Div. D, sec. 40334</t>
  </si>
  <si>
    <t>Financial assistance to eligible entities to carry out project design, transmission studies, power market assessments, and permitting for a pumped storage hydropower project to facilitate the long-duration storage of intermittent renewable electricity</t>
  </si>
  <si>
    <t>Div. D, sec. 40342(f)</t>
  </si>
  <si>
    <t>Clean energy demonstration program on current and former mine land</t>
  </si>
  <si>
    <t>Div. D, sec. 40502(j)</t>
  </si>
  <si>
    <t>Energy efficiency revolving loan fund capitalization grant program</t>
  </si>
  <si>
    <t>Div. D, sec. 40503(g)</t>
  </si>
  <si>
    <t>Energy auditor training grant program</t>
  </si>
  <si>
    <t>Div. D, sec. 40511</t>
  </si>
  <si>
    <t>Competitive grants to eligible entities to enable sustained cost-effective implementation of updated building energy codes</t>
  </si>
  <si>
    <t>Div. D, sec. 40512(c)</t>
  </si>
  <si>
    <t>Building training and assessment centers</t>
  </si>
  <si>
    <t>Div. D, sec. 40513(d)</t>
  </si>
  <si>
    <t>Grants to eligible entities to pay the Federal share of associated career skills training programs under which students concurrently receive classroom instruction and on-the-job training for the purpose of obtaining an industry-related certification to install energy efficient buildings technologies.</t>
  </si>
  <si>
    <t>Div. D, sec. 40521(b)</t>
  </si>
  <si>
    <t>Industrial research and assessment centers</t>
  </si>
  <si>
    <t>Implementation grants for industrial research and assessment centers</t>
  </si>
  <si>
    <t>Div. D, sec. 40534(f)</t>
  </si>
  <si>
    <t>Financial assistance on a competitive basis to States for the establishment of programs to be used as models for supporting the implementation of smart manufacturing technologies</t>
  </si>
  <si>
    <t>Div. D, sec. 40541(j)</t>
  </si>
  <si>
    <t>Grants for energy efficiency improvements and renewable energy improvements at public school facilities</t>
  </si>
  <si>
    <t>Div. D, sec. 40542(d)</t>
  </si>
  <si>
    <t>Energy efficiency materials pilot program</t>
  </si>
  <si>
    <t>Div. D, sec. 40552(b)</t>
  </si>
  <si>
    <t>Energy efficiency and conservation block grants</t>
  </si>
  <si>
    <t>Div. D, sec. 40555</t>
  </si>
  <si>
    <t>Extended product system rebate program</t>
  </si>
  <si>
    <t>Energy efficient transformer rebate program</t>
  </si>
  <si>
    <t>Div. D, sec. 40701(a)</t>
  </si>
  <si>
    <t>For deposit into the Abandoned Mine Reclamation Fund</t>
  </si>
  <si>
    <t>Div. D, sec. 40901</t>
  </si>
  <si>
    <t>Water storage, groundwater storage, and conveyance projects</t>
  </si>
  <si>
    <t>Competitive grant program in Reclamation States to plan and construct small surface water and groundwater storage projects</t>
  </si>
  <si>
    <t>Bureau of Reclamation reserved or transferred works that have suffered a critical failure (funded from the Aging Infrastructure Account)</t>
  </si>
  <si>
    <t>Rehabilitation, reconstruction, or replacement of a dam developed by the Carey Act (from the Aging Infrastructure Account)</t>
  </si>
  <si>
    <t>Rural water projects that have been authorized by an Act of Congress before July 1, 2021, in accordance with the Reclamation Rural Water Supply Act of 2006</t>
  </si>
  <si>
    <t>Water recycling and reuse projects authorized in accordance with the Reclamation Wastewater and Groundwater Study and Facilities Act</t>
  </si>
  <si>
    <t>Competitive grants for the planning, design, and construction of large-scale water recycling and reuse projects that provide substantial water supply and other benefits to the Reclamation States</t>
  </si>
  <si>
    <t>Water desalination projects and studies authorized in accordance with the Water Desalination Act of 1996</t>
  </si>
  <si>
    <t>Safety of dams program, in accordance with the Reclamation Safety of Dams Act of 1978</t>
  </si>
  <si>
    <t>WaterSMART grants in accordance with section 9504 of the Omnibus Public Land Management Act of 2009</t>
  </si>
  <si>
    <t>Implementation of the Colorado River Basin Drought Contingency Plan, consistent with the obligations of the Secretary under the Colorado River Drought Contingency Plan Authorization Act and related agreements</t>
  </si>
  <si>
    <t>Financial assistance for watershed management projects in accordance with subtitle A of title VI of the Omnibus Public Land Management Act of 2009</t>
  </si>
  <si>
    <t>Design, study, and construction of aquatic ecosystem restoration and protection projects in accordance with section 1109 of division FF of the Consolidated Appropriations Act, 2021</t>
  </si>
  <si>
    <t>Competitive grants to eligible applicants for the design, implementation, and monitoring of conservation outcomes of habitat restoration projects that improve watershed health in a river basin that is adversely impacted by a Bureau of Reclamation water project</t>
  </si>
  <si>
    <t>Endangered species recovery and conservation programs in the Colorado River Basin</t>
  </si>
  <si>
    <t>Div. D, sec. 41002(a)</t>
  </si>
  <si>
    <t>Advanced Reactor Demonstration Program</t>
  </si>
  <si>
    <t>Div. D, sec. 41001(a)</t>
  </si>
  <si>
    <t>Div. D, sec. 41001(b)</t>
  </si>
  <si>
    <t>Div. D, sec. 41003(b)</t>
  </si>
  <si>
    <t>Rare Earth elements research and development program (to carry out activities under sec 7001(a) of the Energy Act of 2020 (42 USC 13344(a))</t>
  </si>
  <si>
    <t>Div. D, sec. 41003(d)</t>
  </si>
  <si>
    <t>Design and construction of a Critical Materials Supply Chain Research Facility (to carry out activities under section 7002(h) of the Energy Act of 2020</t>
  </si>
  <si>
    <t>Div. D, sec. 41003(c)</t>
  </si>
  <si>
    <t>Minerals Security- Research on, and development, demonstration, and commercialization of recycling, innovation, and efficiency of, and alternatives to critical materials (to carry out activities under sec 7002(g) of the Energy Act of 2020</t>
  </si>
  <si>
    <t>Div. D, sec. 41004(a)</t>
  </si>
  <si>
    <t>Carbon capture large-scale pilot projects (to carry out activities under section 962(b)(2)(B) of the Energy Policy Act of 2005 (42 USC 16292(b)(2)(B)))</t>
  </si>
  <si>
    <t>Div. D, sec. 41004(b)</t>
  </si>
  <si>
    <t>Carbon capture demonstration projects program (to carry out activities under section 962(b)(2)(C) of the Energy Policy Act of 2005 (42 USC 16292(b)(2)(C)))</t>
  </si>
  <si>
    <t>Div. D, sec. 41005(a)</t>
  </si>
  <si>
    <t>Competitive technology prize competition to award prizes for precommercial carbon dioxide capture from dilute media (activities under 42 USC 16298d(e)(2)(A))</t>
  </si>
  <si>
    <t>Div. D, sec. 41005(b)</t>
  </si>
  <si>
    <t>Competitive technology prize competition to award prizes for commercial applications of direct air capture technologies (activities under 42 USC 16298d(e)(2)(B))</t>
  </si>
  <si>
    <t>Div. D, sec. 41006(a)(1)</t>
  </si>
  <si>
    <t>Research, development, demonstration, and commercial application for technologies that improve the capacity, efficiency, resilience, security, reliability, affordability, and environmental impact, including potential cumulative environmental impacts, of hydropower systems (activities under 42 US 17213)</t>
  </si>
  <si>
    <t>Div. D, sec. 41006(a)(2)</t>
  </si>
  <si>
    <t>Research, development, demonstration, and commercial application of marine energy technology (activities under 42 USC 17213)</t>
  </si>
  <si>
    <t>Div. D, sec. 41006(b)</t>
  </si>
  <si>
    <t>Grants for National Marine Energy Centers (activities under 42 USC 17215)</t>
  </si>
  <si>
    <t>Div. D, sec. 41007(a)</t>
  </si>
  <si>
    <t>Research, development, demonstration, and commercial application for enhanced geothermal systems (activities under 42 USC 17194(d))</t>
  </si>
  <si>
    <t>Div. D, sec. 41007(c)</t>
  </si>
  <si>
    <t>Solar energy research, development, demonstration, and commercialization activities (activities under 42 USC 16238(b)(2))</t>
  </si>
  <si>
    <t>Div. D, sec. 41007(c)(2)</t>
  </si>
  <si>
    <t>Advanced solar energy manufacturing initiative--financial assistance to eligible entities for research, development, demonstration, and commercialization projects to advance new solar energy manufacturing technologies and techniques (activities under 42 16238(b)(3))</t>
  </si>
  <si>
    <t>Div. D, sec. 41007(c)(3)</t>
  </si>
  <si>
    <t>Solar energy technology recycling research, development, and demonstration program--financial assistance to eligible entities for research, development, demonstration, and commercialization projects to create innovative and practical approaches to increase the reuse and recycling of solar energy technologies (activities under 42 USC 16238(b)(4))</t>
  </si>
  <si>
    <t>Div. D, sec. 41008</t>
  </si>
  <si>
    <t>Demonstration projects that test and validate industrial emissions reduction technologies (activities under 42 USC 17113(d)(3))</t>
  </si>
  <si>
    <t>Div. D, sec. 40601</t>
  </si>
  <si>
    <t>Research and development activities in cooperation with the Interstate Oil and Gas Compact Commission to assist the Federal land management agencies, States, and Indian Tribes in (A) identifying and characterizing undocumented orphaned wells; and (B) mitigating the environmental risks of undocumented orphaned wells</t>
  </si>
  <si>
    <t>A program to plug, remediate, and reclaim orphaned wells located on Federal land</t>
  </si>
  <si>
    <t>Initial grants to states to plug, remediate, and restore orphaned wells</t>
  </si>
  <si>
    <t>Formula grants to states to plug, remediate, and restore orphaned wells</t>
  </si>
  <si>
    <t>Performance grants to states to plug, remediate, and restore orphaned wells</t>
  </si>
  <si>
    <t>Grants to Indian Tribes to plug, remediate, or reclaim an orphaned well on Tribal land</t>
  </si>
  <si>
    <t>Div. D, sec. 40202</t>
  </si>
  <si>
    <t>To carry out the National Geologic Mapping Act of 1992</t>
  </si>
  <si>
    <t>Div. A, sec. 11507</t>
  </si>
  <si>
    <t>Denali Commission</t>
  </si>
  <si>
    <t>Div. A, sec. 11506</t>
  </si>
  <si>
    <t>Appalachian Regional Commission</t>
  </si>
  <si>
    <t>Div. A, sec. 11101(b)</t>
  </si>
  <si>
    <t>Highway Accounts</t>
  </si>
  <si>
    <t>Div. C</t>
  </si>
  <si>
    <t>Mass Transit Accounts</t>
  </si>
  <si>
    <t>Div. B, sec. 22101(a)</t>
  </si>
  <si>
    <t>Amtrak Northeast Corridor grants</t>
  </si>
  <si>
    <t>Div. B, sec. 22101(b)</t>
  </si>
  <si>
    <t>Amtrak National Network grants</t>
  </si>
  <si>
    <t>Div. B, sec. 22102(a)</t>
  </si>
  <si>
    <t>Railroad safety activities</t>
  </si>
  <si>
    <t>Div. B, sec. 22102(b)</t>
  </si>
  <si>
    <t>Railroad research and development</t>
  </si>
  <si>
    <t>Div. B, sec. 22103</t>
  </si>
  <si>
    <t>Consolidated rail infrastructure and safety improvements grants</t>
  </si>
  <si>
    <t>Div. B, sec. 22104(a)</t>
  </si>
  <si>
    <t>Railroad crossing elimination program</t>
  </si>
  <si>
    <t>Div. B, sec. 22105(a)</t>
  </si>
  <si>
    <t>Rail restoration and enhancement grants</t>
  </si>
  <si>
    <t>Div. B, sec. 22106(a)</t>
  </si>
  <si>
    <t>Federal-state partnership for intercity passenger rail grants</t>
  </si>
  <si>
    <t>Div. B, sec. 22107(a)</t>
  </si>
  <si>
    <t>Amtrak Office of Inspector General</t>
  </si>
  <si>
    <t>Div. B, sec. 22214(f)</t>
  </si>
  <si>
    <t>Amtrak daily long-distance service study</t>
  </si>
  <si>
    <t>Div. G, sec. 70501(c)</t>
  </si>
  <si>
    <t>Carry out a pilot program under which the Secretary of Agriculture will partner with other organizations to study the benefits of using materials derived from covered agricultural commodities in the production of construction products and consumer products</t>
  </si>
  <si>
    <t>Div. G, sec. 70612(r)(1)</t>
  </si>
  <si>
    <t>State and Local Cyber Security Improvement Program: Establishment of a program to award grants to eligible entities to address cyber security risks and cyber security threats to information systems owned or operated by, or on behalf of, State, local, or Tribal governments</t>
  </si>
  <si>
    <t>Div. G, sec. 70401(b)(4)</t>
  </si>
  <si>
    <t>Development of best practices for recycling and collection of batteries in coordination with state, tribal, local governments and relevant nongovernment and private sector entities</t>
  </si>
  <si>
    <t>Div. G, sec. 70401(c)(4)</t>
  </si>
  <si>
    <t>Establish a program within the EPA to promote battery recycling through development of voluntary labeling guidelines for batteries, communications about identifying battery collection locations, increasing accessibility to those locations, promoting consumer education about battery collection and recycling, and reducing safety concerns related to improper disposal.</t>
  </si>
  <si>
    <t>Div. G, sec. 70402(d)(1)</t>
  </si>
  <si>
    <t>Establish a grant program to award competitive grants to improve the effectiveness of residential and community recycling programs through public education and outreach and develop a model program toolkit.</t>
  </si>
  <si>
    <t>Div. G, sec. 71101(f)(1)</t>
  </si>
  <si>
    <t>Clean school bus program: Adoption of clean school buses that reduce emissions that use alternative fuel and zero-emission buses</t>
  </si>
  <si>
    <t>Div. G, sec. 71101(f)(2)</t>
  </si>
  <si>
    <t>Clean school bus program: Adoption of school buses that are zero-emission buses</t>
  </si>
  <si>
    <t>Div. G, sec. 71102(d)</t>
  </si>
  <si>
    <t>Establish a pilot program to provide grants for the purchase of electric or low-emitting ferries, modifying existing ferries to be electric or low-emitting, and advancing electric and zero-emission ferry technology</t>
  </si>
  <si>
    <t>Div. G, sec. 71103</t>
  </si>
  <si>
    <t>Establishing a program to ensure that basic essential ferry service is provided to rural areas</t>
  </si>
  <si>
    <t>Protecting Moms Who Served Act of 2021</t>
  </si>
  <si>
    <t>Appropriations for maternity care providers training and support</t>
  </si>
  <si>
    <t>Accelerating Access to Critical Therapies for ALS Act</t>
  </si>
  <si>
    <t>Establishes a Health and Human Services Public-Private Partnership for Rare Neurodegenerative Diseases and provides funding for Food and Drug Administration Rare Neurodegenerative Disease Grant Program for research on and treatment development for amyotrophic lateral sclerosis and other rare neurodegenerative diseases.</t>
  </si>
  <si>
    <t>National Defense Authorization Act for Fiscal Year 2022</t>
  </si>
  <si>
    <t>Sec. 1551(b)</t>
  </si>
  <si>
    <t>U.S.-Israel Cybersecurity Cooperation</t>
  </si>
  <si>
    <t>Military Education and Training for Greece</t>
  </si>
  <si>
    <t>Participation in the 3+1 Group</t>
  </si>
  <si>
    <t>Embassy Security, Construction, and Maintenance</t>
  </si>
  <si>
    <t>Health Incidents Response Task Force</t>
  </si>
  <si>
    <t>Sec. 6409(d)</t>
  </si>
  <si>
    <t>Critical Domain Research and Development</t>
  </si>
  <si>
    <t>Consolidated Appropriations Act, 2022</t>
  </si>
  <si>
    <t>Div. Q, sec. 304</t>
  </si>
  <si>
    <t>For the United States Anti-Doping Agency</t>
  </si>
  <si>
    <t>Div. W, sec. 101(b)</t>
  </si>
  <si>
    <t>STOP grants</t>
  </si>
  <si>
    <t>Div. W, sec. 102(c)</t>
  </si>
  <si>
    <t>Grants to improve the criminal justice response</t>
  </si>
  <si>
    <t>Div. W, sec. 103(3)</t>
  </si>
  <si>
    <t>Grants for legal assistance for victims of domestic violence, dating violence, sexual assault and stalking</t>
  </si>
  <si>
    <t>Div. W, sec. 104(2)</t>
  </si>
  <si>
    <t>Grants to support families in the justice system with a history of domestic violence, dating violence, sexual assault, or stalking</t>
  </si>
  <si>
    <t>Div. W, sec. 105(3)</t>
  </si>
  <si>
    <t>Grants for outreach and services to underserved populations</t>
  </si>
  <si>
    <t>Div. W, sec. 107</t>
  </si>
  <si>
    <t>The Rape Survivor Child Custody Act</t>
  </si>
  <si>
    <t>Div. W, sec. 108(1)(b)</t>
  </si>
  <si>
    <t>Enhancing culturally specific services for victims of domestic violence, dating violence, sexual assault, and stalking</t>
  </si>
  <si>
    <t>Div. W, sec. 109(a)</t>
  </si>
  <si>
    <t>Amendment to Violence Against Women Act of 1994 (PL103-322) to add a Pilot Program on Restorative Practices.</t>
  </si>
  <si>
    <t>Div. W, sec. 201(3)(a)</t>
  </si>
  <si>
    <t>Sexual assault services grant program</t>
  </si>
  <si>
    <t>Div. W, sec. 202(3)</t>
  </si>
  <si>
    <t>Rural domestic violence, dating violence, sexual assault, stalking, and child abuse enforcement assistance program</t>
  </si>
  <si>
    <t>Div. W, sec. 203(5)</t>
  </si>
  <si>
    <t>Grants for training and services to end violence against individuals with disabilities and deaf people</t>
  </si>
  <si>
    <t>Div. W, sec. 204(2c)(v)</t>
  </si>
  <si>
    <t>Training and services to end abuse in later life</t>
  </si>
  <si>
    <t>Div. W, sec. 205(b)</t>
  </si>
  <si>
    <t>Trauma-informed, victim-centered training for law enforcement (Abby Honold Act)</t>
  </si>
  <si>
    <t>Div. W, sec. 206(g)</t>
  </si>
  <si>
    <t>Grant program for LGBT specific services for victims of domestic violence, sexual assault, and stalking</t>
  </si>
  <si>
    <t>Div. W, sec. 501(16)</t>
  </si>
  <si>
    <t>Grants for strengthening the healthcare system's response to domestic violence, dating violence, sexual assault, and stalking</t>
  </si>
  <si>
    <t>Div. W, sec. 503(e)</t>
  </si>
  <si>
    <t>Understanding Sexual Assault Care in Health Systems provides funding to identify improvements for forensic examinations of sexual assault survivors</t>
  </si>
  <si>
    <t>Div. W, sec. 505(h)</t>
  </si>
  <si>
    <t>Improving and Strengthening the Sexual Assault Examiner Workforce Clinical and Continuing Education Pilot Program</t>
  </si>
  <si>
    <t>Div. W, sec. 303(a)(5)</t>
  </si>
  <si>
    <t>Grants to combat violent crimes on campuses</t>
  </si>
  <si>
    <t>Div. W, sec. 401(2)</t>
  </si>
  <si>
    <t>Centers for Disease Control and Prevention study to reduce and prevent violence against adults, youth, and children</t>
  </si>
  <si>
    <t>Div. W, sec. 402(4)</t>
  </si>
  <si>
    <t>SMART (Saving Money and Reducing Tragedies) Prevention Grants for preventing domestic violence, dating violence, sexual assault, and stalking</t>
  </si>
  <si>
    <t>Div. W, sec. 802(b)(3)</t>
  </si>
  <si>
    <t>Tribal Access Program to enhance ability of tribal governments to access, enter information into, and obtain information from national criminal information databases</t>
  </si>
  <si>
    <t>Div. W, sec. 506(f)</t>
  </si>
  <si>
    <t>Expanding Access to Unified Care establishes a grant program to train clinical providers to expand access to forensic examinations for survivors of sexual assault</t>
  </si>
  <si>
    <t>Div. W, sec. 1005</t>
  </si>
  <si>
    <t>Improving conditions for women in federal custody, including - treatment of primary caretaker parents and other individuals, health and safety of pregnant women and mothers, report on women in federal incarceration, and reentry planning and services.</t>
  </si>
  <si>
    <t>Div. W, sec. 507(b)</t>
  </si>
  <si>
    <t>Expanding Access to Forensics for Victims of Interpersonal Violence establishes a grant program for higher education institutions to develop training for health care providers to provide trauma-informed care and forensic exams for survivors</t>
  </si>
  <si>
    <t>Div. W, sec. 1203(g)</t>
  </si>
  <si>
    <t>Incentive grant program for states with laws that criminalize a law enforcement officer from engaging in a sexual act with any person in custody and prohibits the assertion of consent as a defense.</t>
  </si>
  <si>
    <t>Div. W, sec. 703(b)</t>
  </si>
  <si>
    <t>Provisions Related to the Temporary Assistance for Needy Families Program establishes the National Grant Program for Developing a Model Training Program for TANF Personnel</t>
  </si>
  <si>
    <t>Div. W, sec. 1301</t>
  </si>
  <si>
    <t>Stalker database</t>
  </si>
  <si>
    <t>Div. W, sec. 1310(c9)</t>
  </si>
  <si>
    <t>The Choose Respect Act requires HHS to create a national media campaign for newly established Choose Respect Day</t>
  </si>
  <si>
    <t>Div. W, sec. 1302</t>
  </si>
  <si>
    <t>For the United States Attorneys to appoint victim and witness coordinators for the prosecution of sex crimes and domestic violence crimes where applicable.</t>
  </si>
  <si>
    <t>Div. W, sec. 1303</t>
  </si>
  <si>
    <t>Child abuse training programs for judicial personnel and practitioners</t>
  </si>
  <si>
    <t>Div. W, sec. 1304</t>
  </si>
  <si>
    <t>Training programs for parole officers who work with sex offenders</t>
  </si>
  <si>
    <t>Div. W, sec. 1305</t>
  </si>
  <si>
    <t>Court appointed special advocate (CASA)</t>
  </si>
  <si>
    <t>Div. W, sec. 1318(e)</t>
  </si>
  <si>
    <t>Grants for sexual assault nurse examiner (SANE) sexual assault forensic examiner (SAFE) training programs</t>
  </si>
  <si>
    <t>Div. W, sec. 1401(g)(1)</t>
  </si>
  <si>
    <t>Grants to States, Tribes, and local governments for the prevention, enforcement, and prosecution of cybercrimes against individuals.</t>
  </si>
  <si>
    <t>Div. W, sec. 1402(i)</t>
  </si>
  <si>
    <t>Grant program to establish a National Resource Center on Cybercrimes Against Individuals.</t>
  </si>
  <si>
    <t>Div. W, sec. 1504</t>
  </si>
  <si>
    <t>Increase to STOP Grants for states with certain child custody proceeding laws and standards.</t>
  </si>
  <si>
    <t>Div. W, sec. 1506</t>
  </si>
  <si>
    <t>Grants to State and local courts to pilot program to serve protection orders electronically.</t>
  </si>
  <si>
    <t>Div. W, sec. 702(7)</t>
  </si>
  <si>
    <t>Grants for the National Resource Center on Workplace Responses to Violence</t>
  </si>
  <si>
    <t>Div. W, sec. 605(c)(3)</t>
  </si>
  <si>
    <t>Grants to combat violence against women in public assisted housing</t>
  </si>
  <si>
    <t>Div. W, sec. 302(4)</t>
  </si>
  <si>
    <t>CHOOSE (Creating Hope through Outreach, Options, Services and Education) grants for youth exposed to domestic violence, dating violence, sexual assault, or stalking</t>
  </si>
  <si>
    <t>Div. W, sec. 1315(c)</t>
  </si>
  <si>
    <t>Bree's Law for Teen Dating Violence Prevention provides grants for projects to reduce teen dating violence</t>
  </si>
  <si>
    <t>Div. W, sec. 301</t>
  </si>
  <si>
    <t>Rape Prevention and Education Grant Program</t>
  </si>
  <si>
    <t>Div. W, sec. 605(b)</t>
  </si>
  <si>
    <t>Collaborative grants to increase the long-term stability of victims provides funds to develop long-term sustainability and self-sufficiency options for victims of domestic violence or sexual assault</t>
  </si>
  <si>
    <t>Div. W, sec. 507(c)</t>
  </si>
  <si>
    <t>Technical Assistance Grants and Learning Collectives establishes a forensic provider technical resource center to provide assistance and best practices for health care providers regarding forensic services for all survivors of interpersonal violence</t>
  </si>
  <si>
    <t>Div. W, sec. 602</t>
  </si>
  <si>
    <t>Department of Housing and Urban Development Gender-Based Violence Prevention Office and Violence Against Women Act Director</t>
  </si>
  <si>
    <t>Div. W, sec. 604</t>
  </si>
  <si>
    <t>Transitional housing assistance grants for victims of domestic violence, dating violence, sexual assault, or stalking</t>
  </si>
  <si>
    <t>Div. W, sec. 605(d)</t>
  </si>
  <si>
    <t>Training and technical assistance grants to implement housing protections for victims of domestic violence, dating violence, sexual assault, and stalking</t>
  </si>
  <si>
    <t>Div. DD, sec. 101</t>
  </si>
  <si>
    <t>High Technology Pilot Program</t>
  </si>
  <si>
    <t>Div. G, sec. 119(c)(1)</t>
  </si>
  <si>
    <t>For implementing the Management Action Plan of the Delaware and Lehigh Navigation Canal National Heritage Corridor</t>
  </si>
  <si>
    <t>Sec. 4101</t>
  </si>
  <si>
    <t>Discretionary grants for establishment of school-based health centers through the Health Resources and Services Administration</t>
  </si>
  <si>
    <t>Geothermal Energy Systems: International Geothermal Energy Development</t>
  </si>
  <si>
    <t>Div. W, sec. 804(8)</t>
  </si>
  <si>
    <t>Reimbursement to tribal government authorities for expenses in exercising special Tribal criminal jurisdiction. Grants to strengthen Tribal criminal justice systems, including defense counsel, jury selection and instruction, and victims' rights. Training, technical assistance, data collection, and evaluation of criminal justice systems of participating tribes.</t>
  </si>
  <si>
    <t>Div. W, sec. 813(g)(6)</t>
  </si>
  <si>
    <t>The Alaska Tribal Public Safety Advisory Committee, which shall focus on improving justice systems, crime prevention, and victim services of tribes and the State; and increase coordination among Federal, Tribal, State, and local law enforcement agencies.</t>
  </si>
  <si>
    <t>Dr. Lorna Breen Health Care Provider Protection Act</t>
  </si>
  <si>
    <t>Sec. 3(c)</t>
  </si>
  <si>
    <t>Education and awareness initiative encouraging use of mental health and substance use disorder services by health care professionals</t>
  </si>
  <si>
    <t>Grants or contracts to health care entities to establish or enhance evidence-based or evidence-informed programs to improve mental health and resiliency for health care professionals.</t>
  </si>
  <si>
    <t>Modernizing Access to Our Public Land Act</t>
  </si>
  <si>
    <t>Sec. 8(1)(B)</t>
  </si>
  <si>
    <t>Department of Interior, with Department of Agriculture and Corps of Engineers, to develop and adopt interagency standards to ensure compatibility and interoperability among Federal databases with respect to the collection and dissemination of data 1) relating to public outdoor recreational use on Federal land, and 2) to show which locations are available to the public.</t>
  </si>
  <si>
    <t>Sec. 8(2)(B)</t>
  </si>
  <si>
    <t>Department of Agriculture, with Department of Interior and Corps of Engineers, to develop and adopt interagency standards to ensure compatibility and interoperability among Federal databases with respect to the collection and dissemination of data 1) relating to public outdoor recreational use on Federal land, and 2) to show which locations are available to the public.</t>
  </si>
  <si>
    <t>Sec. 8(3)(B)</t>
  </si>
  <si>
    <t>Corps of Engineers, with Department of Agriculture, with Department of Interior to develop and adopt interagency standards to ensure compatibility and interoperability among Federal databases with respect to the collection and dissemination of data 1) relating to public outdoor recreational use on Federal land, and 2) to show which locations are available to the public.</t>
  </si>
  <si>
    <t>Ocean Shipping Reform Act of 2022</t>
  </si>
  <si>
    <t>Sec. 26</t>
  </si>
  <si>
    <t>Bipartisan Safer Communities Act</t>
  </si>
  <si>
    <t>Sec. 1103(b)</t>
  </si>
  <si>
    <t>Grants to States for implementing, enhancing, or expanding the provision of assistance through school-based entities under Medicaid or CHIP to support the delivery of medical assistance to Medicaid and CHIP beneficiaries in school-based settings</t>
  </si>
  <si>
    <t>Sec. 11005</t>
  </si>
  <si>
    <t>Pediatric mental health care access grants: through Health Resources and Services Administration grants to promote behavioral health integration in pediatric primary care by development of statewide or regional pediatric mental health care telehealth access programs and supporting the improvement of existing statewide or regional telehealth programs</t>
  </si>
  <si>
    <t>Sec. 12004(i)</t>
  </si>
  <si>
    <t>To continue and expand current efforts to educate persons licensed as an importer, manufacturer, or dealer of firearms and the public to combat illegal straw purchases of firearms.</t>
  </si>
  <si>
    <t>An Act making appropriations for Legislative Branch for fiscal year ending September 30, 2022 and for many other purposes</t>
  </si>
  <si>
    <t>Div. B, sec. 10112</t>
  </si>
  <si>
    <t>Office of science policy: basic energy sciences and research in biological and environmental, advanced scientific computing quantum network infrastructure, quantum user expansion, fusion energy, high energy physics, nuclear physics, laboratories infrastructure, accelerators, isotopes, high intensity laser, helium conservation, midscale instrumentation, and teacher/scientist collaboration.</t>
  </si>
  <si>
    <t>Div. B, sec. 10113(e)</t>
  </si>
  <si>
    <t>Established Program to Stimulate Competitive Research "EPSCoR"</t>
  </si>
  <si>
    <t>Div. B, sec. 10113(e)(iv)</t>
  </si>
  <si>
    <t>Competitive grants to institutions of higher education for research capacity development and implementation, including developing and acquiring novel, state-of-the-art instruments and equipment.</t>
  </si>
  <si>
    <t>Div. B, sec. 10211(e)</t>
  </si>
  <si>
    <t>National Institute of Standards and Technology: construction and maintenance</t>
  </si>
  <si>
    <t>National Institute of Standards and Technology: scientific and technical research and services and laboratory activities</t>
  </si>
  <si>
    <t>National Institutes of Standards and Technology: industrial technology services</t>
  </si>
  <si>
    <t>Div. B, sec. 10248(e)</t>
  </si>
  <si>
    <t>Standards development organization grants to develop, approve, disseminate, maintain, and review forensic science voluntary consensus standards and best practices that shall be available to the public free of charge</t>
  </si>
  <si>
    <t>Div. B, sec. 10303(e)</t>
  </si>
  <si>
    <t>National Science Foundation</t>
  </si>
  <si>
    <t>Div. B, sec. 10311(c)(10)</t>
  </si>
  <si>
    <t>National STEM teacher corps pilot: pilot program to recognize outstanding STEM teachers</t>
  </si>
  <si>
    <t>Div. B, sec. 10312(3)</t>
  </si>
  <si>
    <t>Scientific and technical education: National Advanced Scientific and Technical Education Program</t>
  </si>
  <si>
    <t>Div. B, sec. 10325(b)(8)</t>
  </si>
  <si>
    <t>Fostering STEM research diversity and capacity program: awards to eligible institutions to implement and study innovative approaches for building research capacity to engage and retain students from a range of institutions and background</t>
  </si>
  <si>
    <t>Div. B, sec. 10327(c)</t>
  </si>
  <si>
    <t>National Science Foundation Office of Chief Diversity Officer</t>
  </si>
  <si>
    <t>Div. B, sec. 10329(a)</t>
  </si>
  <si>
    <t>Increasing diversity among STEM faculty at institutions of higher education: awards for the development and assessment of efforts designed to increase the recruitment, retention, and advancement of individuals from underrepresented minority groups in academic STEM careers</t>
  </si>
  <si>
    <t>Support for broadening participation in undergraduate STEM education: awards to institutions of higher education to implement or expand research-based reforms in undergraduate STEM education to recruit and retain students from minority groups underrepresented in STEM fields</t>
  </si>
  <si>
    <t>Div. B, sec. 10374(d)(2)</t>
  </si>
  <si>
    <t>Computing enclave pilot program: awards to ensure the security of federally supported research data and to assist regional institutions of higher education and their researchers in compliance with regulations regarding the safeguarding of sensitive information and other relevant regulations and federal guidelines regulations and Federal guidelines</t>
  </si>
  <si>
    <t>Div. B, sec. 10375(i)</t>
  </si>
  <si>
    <t>National secure data service demonstration project: to develop, refine, and test models to inform the full implementation of the Commission on Evidence_x0002_Based Policymaking recommendation for a government-wide data linkage and access infrastructure for statistical activities conducted for statistical purposes</t>
  </si>
  <si>
    <t>Div. B, sec. 10392(e)</t>
  </si>
  <si>
    <t>Entrepreneurial fellowships: fellowships to scientists and engineers to help develop leaders capable of maturing promising ideas and technologies from lab to market or other use and forge connections between academic research and the government, industry, financial sectors, and other end users</t>
  </si>
  <si>
    <t>Div. B, sec. 10504(d)</t>
  </si>
  <si>
    <t>Funds are authorized for a survey by Director of the National Science Foundation to collect data from award recipients on the demographics of STEM faculty, by broad fields of STEM, at different types of institutions of higher education that receive Federal research funding</t>
  </si>
  <si>
    <t>Div. B, sec. 10512(i)(1)</t>
  </si>
  <si>
    <t>National Science Foundation rural STEM activities: awards to institutions of higher education for research and development activities to advance innovative approaches to support and sustain high-quality STEM teaching in rural schools</t>
  </si>
  <si>
    <t>Div. B, sec. 10512(i)(2)</t>
  </si>
  <si>
    <t>Broadening participation of rural students in STEM: awards for research and development of programming to identify the barriers rural students face in accessing high quality STEM education, and development of innovative solutions to improve the participation and advancement of rural students in prekindergarten through grade 12 in STEM studies</t>
  </si>
  <si>
    <t>Div. B, sec. 10514(c)</t>
  </si>
  <si>
    <t>Evaluation and assessment by the National Academies of STEM education for students through grade 12, impact of scarcity of broadband, challenges of providing STEM education in rural areas, and recommendations for improvement</t>
  </si>
  <si>
    <t>Div. B, sec. 10524(h)</t>
  </si>
  <si>
    <t>Award programs: (1) identify and broadly disseminate effective models for programs and practices at HBCUs, TCUs, and MSIs that promote the minority students pursuing STEM studies and research on the contribution of HBCUs, TCUs, and MSIs to the education and training in STEM fields and to the meeting of national STEM workforce needs, and (2) capacity-building programs for developing universities</t>
  </si>
  <si>
    <t>Div. B, sec. 10525(2)(5)</t>
  </si>
  <si>
    <t>Awards to eligible entities to increase the participation of Tribal populations in computer science and computational thinking education programs to enable students to develop skills and competencies in coding, problem-solving, critical thinking, creativity and collaboration</t>
  </si>
  <si>
    <t>Div. B, sec. 10602</t>
  </si>
  <si>
    <t>Early-career research fellowship program: awards to highly qualified early-career investigators to carry out an independent research program at the institution of higher education or participating Federal research facility</t>
  </si>
  <si>
    <t>Div. B, sec. 10621(k)(1)</t>
  </si>
  <si>
    <t>Regional technology and innovation HUB program: strategy development grants and cooperative agreements for the development of regional innovation strategies</t>
  </si>
  <si>
    <t>Div. B, sec. 10621(k)(2)</t>
  </si>
  <si>
    <t>Grants or cooperative agreements by Secretary of Commerce to regional technology and innovation hubs for the implementation of regional innovation strategies, including regional strategies for infrastructure and site development, in support of the regional innovation and technology and innovation hub’s plans and programsplans and programs</t>
  </si>
  <si>
    <t>Div. B, sec. 10621(a)</t>
  </si>
  <si>
    <t>Distressed area recompete pilot program: grants to eligible areas or Tribal lands to alleviate persistent economic distress and support long-term comprehensive economic development and job creation in eligible areas</t>
  </si>
  <si>
    <t>Div. B, sec. 10622</t>
  </si>
  <si>
    <t>Regional clean energy innovation program: a research, development, demonstration, and commercial application program to enhance the economic, environmental, and energy security</t>
  </si>
  <si>
    <t>Div. B, sec. 10649</t>
  </si>
  <si>
    <t>For the National Oceanic and Atmospheric Administration to research, monitor, and develop a plan on ocean acidification</t>
  </si>
  <si>
    <t>National Science Foundation: federal ocean acidification research and monitoring</t>
  </si>
  <si>
    <t>Div. B, sec. 10611(c)(2)</t>
  </si>
  <si>
    <t>To facilitate the development and standardization of quantum cryptography and post-quantum classical cryptography and quantum networking, communications, and sensing technologies and applications, and to review and assist in developing quantum infrastructure standards through the Scientific and Technical Research Account of the National Institute of Standards and Technology</t>
  </si>
  <si>
    <t>Div. B, sec. 10611(f)(5)</t>
  </si>
  <si>
    <t>National Science Foundation awards to institutions of higher education and non-profit organizations for the Next Generation Quantum Leaders Pilot Program for the education and training of the next generation of students and teachers in the fundamental principles of quantum mechanics</t>
  </si>
  <si>
    <t>Div. B, sec. 10691(b)(11)</t>
  </si>
  <si>
    <t>Foundation for Energy Security and Innovation</t>
  </si>
  <si>
    <t>Div. B, sec. 10713(i)</t>
  </si>
  <si>
    <t>National Clean Energy Incubator Program</t>
  </si>
  <si>
    <t>Div. B, sec. 10714(h)</t>
  </si>
  <si>
    <t>Clean Energy Technology University Prize program to award funding for eligible entities to carry out regional and one national clean energy technology prize competitions</t>
  </si>
  <si>
    <t>Div. B, sec. 10715(b)</t>
  </si>
  <si>
    <t>Clean energy technology transfer coordination: coordination of relevant technology transfer programs that advance the commercial application of clean energy technologies nationally and across all energy sectors</t>
  </si>
  <si>
    <t>Div. B, sec. 10716(h)(c)</t>
  </si>
  <si>
    <t>Lab partnering service pilot program</t>
  </si>
  <si>
    <t>Div. B, sec. 10717(k)</t>
  </si>
  <si>
    <t>Grants to National Laboratories to establish and/or support Lab-Embedded Entrepreneurship Programs that provide entrepreneurial fellows with access to National Laboratory research facilities, National Laboratory expertise, and mentorship to perform research and development and gain expertise or beneficial for the commercial application of research ideas</t>
  </si>
  <si>
    <t>Div. B, sec. 10718</t>
  </si>
  <si>
    <t>Small business voucher program to encourage the participation of small business concerns in procurement, research, development, demonstration, and commercial application activities, including product development, technology licensing, and technology transfer activities</t>
  </si>
  <si>
    <t>Div. B, sec. 10722</t>
  </si>
  <si>
    <t>Office of Technology Transitions</t>
  </si>
  <si>
    <t>Div. B, sec. 10731(c)(8)</t>
  </si>
  <si>
    <t>Microelectronics research program to accelerate research and development for design, development, and manufacturability of next_x0002_generation microelectronics and (B) ensure the global competitiveness of the United States in the field of microelectronics</t>
  </si>
  <si>
    <t>Div. B, sec. 10743</t>
  </si>
  <si>
    <t>Nuclear science and engineering support: strengthening university research and training reactors and associated infrastructure</t>
  </si>
  <si>
    <t>Div. B, sec. 10744</t>
  </si>
  <si>
    <t>Advanced nuclear research infrastructure enhancement subprogram to establish not more than 4 new research reactors and new nuclear science and engineering facilities to address research demand and identified infrastructure gaps</t>
  </si>
  <si>
    <t>Div. B, sec. 10745</t>
  </si>
  <si>
    <t>University Nuclear Leadership Program-funding for Secretary of Energy</t>
  </si>
  <si>
    <t>Div. B, sec. 10761</t>
  </si>
  <si>
    <t>Projects to address the deferred maintenance, critical infrastructure needs, and modernization of National Laboratories</t>
  </si>
  <si>
    <t>Div. B, sec. 10771(1)(a)</t>
  </si>
  <si>
    <t>Office of energy efficiency and renewable energy: building technologies, research, and demonstration activities, $1.2 billion over the period 2023 to 2026</t>
  </si>
  <si>
    <t>Div. B, sec. 10771(1)(b)</t>
  </si>
  <si>
    <t>Office of energy efficiency and renewable energy: sustainable transportation, research, development, and demonstration activities $1.2 billion over the period 2023 to 2026</t>
  </si>
  <si>
    <t>Office of energy efficiency and renewable energy: advanced manufacturing, research, development, and demonstration activities $1 billion over the period 2023 to 2026</t>
  </si>
  <si>
    <t>Div. B, sec. 10771(1)(d)</t>
  </si>
  <si>
    <t>Office of energy efficiency and renewable energy: Industrial emissions reduction technology development program $1 billion over the period 2023 to 2026</t>
  </si>
  <si>
    <t>Div. B, sec. 10771(1)(e)</t>
  </si>
  <si>
    <t>Office of energy efficiency and renewable energy: advanced materials, research, development, and demonstration activities $600 million over the period 2023 to 2026</t>
  </si>
  <si>
    <t>Div. B, sec. 10771(1)(f)</t>
  </si>
  <si>
    <t>Office of energy efficiency and renewable energy: renewable power, research, development, and demonstration activities $800 million over the period 2023 to 2026</t>
  </si>
  <si>
    <t>Div. B, sec. 10771(2)</t>
  </si>
  <si>
    <t>Office of electricity: electric grid modernization and security research, development, and demonstration activities, $1 billion over the period 2023 to 2026</t>
  </si>
  <si>
    <t>Div. B, sec. 10711(3)</t>
  </si>
  <si>
    <t>Office of cybersecurity, energy security, and emergency response: cybersecurity and energy system physical research, development, and demonstration activities, $800 million over the period 2023 to 2026</t>
  </si>
  <si>
    <t>Div. B, sec. 10771(4)</t>
  </si>
  <si>
    <t>Office of nuclear energy: advanced materials research, development and demonstration activities $400 million over the period 2023 to 2026</t>
  </si>
  <si>
    <t>Div. B, sec. 10771(5)</t>
  </si>
  <si>
    <t>Office of environmental management: artificial intelligence and information technology research, development, and demonstration activities $200 million for the period 2023 to 2026</t>
  </si>
  <si>
    <t>Div. B, sec. 10771(6)(a)</t>
  </si>
  <si>
    <t>Office of fossil energy and carbon management: clean industrial technologies research, development, and demonstration activities $600 million for the period 2023 to 2026</t>
  </si>
  <si>
    <t>Div. B, sec. 10771(6)(b)</t>
  </si>
  <si>
    <t>Office of fossil energy and carbon management: alternative fuels research, development, and demonstration activities $200 million for the period 2023 to 2026</t>
  </si>
  <si>
    <t>Div. B, sec. 10771(6)(c)</t>
  </si>
  <si>
    <t>Office of fossil energy and carbon management: carbon removal research, development, and demonstration activities $1 billion for the period 2023 to 2026</t>
  </si>
  <si>
    <t>Div. B, sec. 10771(7)</t>
  </si>
  <si>
    <t>Advanced research projects agency: energy activities $1,200,852,898 over the period 2023 to 2026</t>
  </si>
  <si>
    <t>Div. B, sec. 10781(f)(5)</t>
  </si>
  <si>
    <t>Advanced nuclear technologies federal research, development and demonstration program to provide federal financial assistance to eligible entities to support the research, development, and demonstration of advanced nuclear reactors</t>
  </si>
  <si>
    <t>Sergeant First Class Heath Robinson Honoring our Promise to Address Comprehensive Toxics Act of 2022</t>
  </si>
  <si>
    <t>Sec. 702(c)</t>
  </si>
  <si>
    <t>Funds for Medical Facilities account</t>
  </si>
  <si>
    <t>Traumatic Brain Injury and Post-Traumatic Stress Disorder Law Enforcement Training Act</t>
  </si>
  <si>
    <t>Grants for adult and juvenile collaboration programs, where judicial and mental health agencies collaborate to provide access to mental health</t>
  </si>
  <si>
    <t>Continuing Appropriations and Ukraine Supplemental Appropriations Act, 2023</t>
  </si>
  <si>
    <t>Div. E, sec. 5302</t>
  </si>
  <si>
    <t>Reintegration grant program for homeless women veterans and homeless veterans with children</t>
  </si>
  <si>
    <t>Div. E, sec. 401</t>
  </si>
  <si>
    <t>Monthly assistance allowance for disabled veterans selected for or invited to compete for a slot on the U.S. Paralympics team, for any month the veteran is in training or competing in a sanctioned event</t>
  </si>
  <si>
    <t>Div. E, sec. 402</t>
  </si>
  <si>
    <t>Grants for adaptive sports programs for disabled veterans and members of the Armed Forces</t>
  </si>
  <si>
    <t>Div. F, sec. 1004</t>
  </si>
  <si>
    <t>Authorization of appropriations for prescription drug user fees</t>
  </si>
  <si>
    <t>Div. F, sec. 2003</t>
  </si>
  <si>
    <t>Authorization of appropriations for the use of medical device user fees</t>
  </si>
  <si>
    <t>Div. F, sec. 3002</t>
  </si>
  <si>
    <t>Authorization of appropriations for the use of human generic drug fees</t>
  </si>
  <si>
    <t>Div. F, sec. 4003</t>
  </si>
  <si>
    <t>Authorization of appropriations for the use of biosimilar biological product fees</t>
  </si>
  <si>
    <t>United States Commission on International Freedom Reauthorization Act of 2022</t>
  </si>
  <si>
    <t>United States Commission on International Religious Freedom Reform (22 U.S.C. 6435(a))</t>
  </si>
  <si>
    <t>Early Hearing Detection and Intervention Act of 2022</t>
  </si>
  <si>
    <t>Sec. 2(2)(A)</t>
  </si>
  <si>
    <t>Statewide newborn and infant hearing screening, evaluation, and intervention programs and systems; to be carried out by the Health Resources and Services Administration</t>
  </si>
  <si>
    <t>Sec. 2(2)((B))</t>
  </si>
  <si>
    <t>Technical assistance, data management, and applied research by the Centers for Disease Control and Prevention on hearing loss screening, evaluation, diagnosis and intervention programs</t>
  </si>
  <si>
    <t>Cardiovascular Advances in Research and Opportunities Legacy Act</t>
  </si>
  <si>
    <t>Activities by the Director of the National Institutes of Health related to research, education, and awareness of valvular heart diseases</t>
  </si>
  <si>
    <t>Safeguard Tribal Objects of Patrimony Act of 2021</t>
  </si>
  <si>
    <t>Prevent the export and facilitate the repatriation of cultural items, strengthen deterrence by increasing penalties, and implement the Native American Graves Protection and Repatriation Act</t>
  </si>
  <si>
    <t>PROTECT Our Children Act of 2022</t>
  </si>
  <si>
    <t>National Internet Crimes Against Children Data System</t>
  </si>
  <si>
    <t>James M. Inhofe National Defense Authorization Act for Fiscal Year 2023</t>
  </si>
  <si>
    <t>For defense military programs, not including military construction and housing</t>
  </si>
  <si>
    <t>Atomic energy defense activities</t>
  </si>
  <si>
    <t>Armed Forces Retirement Home</t>
  </si>
  <si>
    <t>Military Construction and family housing</t>
  </si>
  <si>
    <t>Naval petroleum reserve</t>
  </si>
  <si>
    <t>Maritime Administration</t>
  </si>
  <si>
    <t>Embassies in Soloman Islands, Kiribati, Tonga, and presence in Vanuatu</t>
  </si>
  <si>
    <t>Cybersecurity recruitment and retention</t>
  </si>
  <si>
    <t>Regional Technology Officer Program</t>
  </si>
  <si>
    <t>Participation in International Fairs and Expositions</t>
  </si>
  <si>
    <t>Global Internet Freedom</t>
  </si>
  <si>
    <t>Commission on Reform and Modernization of the Department of State</t>
  </si>
  <si>
    <t>Banking Transparency for Sanctioned Persons Act of 2022</t>
  </si>
  <si>
    <t>Incentives for states to create a Sexual Assault Survivors' Bill of Rights</t>
  </si>
  <si>
    <t>Transparency of International Agreements</t>
  </si>
  <si>
    <t>Activities to support the Federal Acquisition Security Council</t>
  </si>
  <si>
    <t>DHS Cross-Border Tunnel Defense</t>
  </si>
  <si>
    <t>Assistance and training for communities with technological hazards and related emerging threats</t>
  </si>
  <si>
    <t>Coral Reef Conservation Act</t>
  </si>
  <si>
    <t>Marine Mammal Protection Act</t>
  </si>
  <si>
    <t>Learning excellence and good examples from new developers (NOAA)</t>
  </si>
  <si>
    <t>Reduction of Impact on Marine Mammals</t>
  </si>
  <si>
    <t>Mitigation Program for Large Cetacean</t>
  </si>
  <si>
    <t>Monitoring Ocean Soundscapes</t>
  </si>
  <si>
    <t>Customs Seafood Import Monitoring</t>
  </si>
  <si>
    <t>NOAA Acquisition of Aircraft</t>
  </si>
  <si>
    <t>Div. K, sec. 11101(1)</t>
  </si>
  <si>
    <t>For the operation and maintenance of the Coast Guard</t>
  </si>
  <si>
    <t>Div. K, sec. 11101(2)(C)</t>
  </si>
  <si>
    <t>Environmental compliance and restoration functions of the Coast Guard</t>
  </si>
  <si>
    <t>Div. K, sec. 11101(3)(A)</t>
  </si>
  <si>
    <t>For the procurement, construction, renovation, and improvement of aids of the Coast Guard to navigation, shore facilities, vessels, aircraft, and systems, including equipment related thereto, and for maintenance, rehabilitation, lease, and operation of facilities and equipment</t>
  </si>
  <si>
    <t>Div. K, sec. 11101(3)(B)</t>
  </si>
  <si>
    <t>For the alteration or removal of bridges over navigable waters constituting obstructions to navigation, and for personnel and administrative costs associated with the Alteration of Bridges Program</t>
  </si>
  <si>
    <t>Div. K, sec. 11101</t>
  </si>
  <si>
    <t>For research, development, test, and evaluation of technologies, materials, and human factors directly related to improving the performance of the Coast Guard's mission with respect to search and rescue, aids to navigation, marine safety, marine environmental protection, enforcement of laws and treaties, ice operations, oceanographic research, and defense readiness, for maintenance, rehabilitation</t>
  </si>
  <si>
    <t>Div. K, sec. 11101(5)(B)</t>
  </si>
  <si>
    <t>Medicare-eligible retiree health care fund contribution to the Department of Defense</t>
  </si>
  <si>
    <t>Div. K, sec. 11106(1)</t>
  </si>
  <si>
    <t>Coast Guard Resilient Infrastructure and Construction Improvement for improvement to facilities of the Coast Guard Yard</t>
  </si>
  <si>
    <t>Div. K, sec. 11106(2)</t>
  </si>
  <si>
    <t>Acquisition of a new floating drydock at the Coast Guard Yard.</t>
  </si>
  <si>
    <t>Div. F, sec. 6103(a)</t>
  </si>
  <si>
    <t>For the Intelligence Community Management Account of the Director of National Intelligence</t>
  </si>
  <si>
    <t>House Permanent Select Committee on Intelligence</t>
  </si>
  <si>
    <t>Senate Select Committee on Intelligence</t>
  </si>
  <si>
    <t>Div. F, sec. 6201</t>
  </si>
  <si>
    <t>For the Central Intelligence Agency Retirement and Disability Fund</t>
  </si>
  <si>
    <t>Div. F, sec. 6101</t>
  </si>
  <si>
    <t>For the Intelligence Activities of the United States Coast Guard</t>
  </si>
  <si>
    <t>For the intelligence activities of the Department of Homeland Security</t>
  </si>
  <si>
    <t>For the intelligence activities of the Department of Defense</t>
  </si>
  <si>
    <t>For the intelligence activities of the Defense Intelligence Agency</t>
  </si>
  <si>
    <t>For the intelligence activities of the National Security Agency</t>
  </si>
  <si>
    <t>For the intelligence activities of the Department of the Army, the Department of the Navy, and the Department of the Air Force</t>
  </si>
  <si>
    <t>For the intelligence activities of the National Reconnaissance Office</t>
  </si>
  <si>
    <t>For the intelligence activities of the National Geospatial-Inteligence Agency</t>
  </si>
  <si>
    <t>For the intelligence activities of the Department of Energy</t>
  </si>
  <si>
    <t>For the intelligence activities of the Department of State</t>
  </si>
  <si>
    <t>For the intelligence activities of the Department of the Treasury</t>
  </si>
  <si>
    <t>For the intelligence activities of the Department of Justice</t>
  </si>
  <si>
    <t>For the intelligence activities of the Federal Bureau of Investigation</t>
  </si>
  <si>
    <t>For the intelligence activities of the Drug Enforcement Agency</t>
  </si>
  <si>
    <t>Debt reduction in developing countries with tropical rainforests</t>
  </si>
  <si>
    <t>Great Lakes Fish and Wildlife Restoration Reauthorization Act of 2022</t>
  </si>
  <si>
    <t>Implementation of regional projects and funding for the administration of proposals and activities of the Great Lakes Coordination Office and the Upper and Lower Great Lakes Fishery Resources Office</t>
  </si>
  <si>
    <t>Flood Level Observation, Operations and Decision Support Act</t>
  </si>
  <si>
    <t>Sec. 12</t>
  </si>
  <si>
    <t>Establish the NOAA Precipitation Frequency Atlas of the United States to monitor frequency of precipitation in the United States</t>
  </si>
  <si>
    <t>Saline Lake Ecosystems in the Great Basin States Program Act of 2022</t>
  </si>
  <si>
    <t>Sec. 2(g)</t>
  </si>
  <si>
    <t>Saline Lake Ecosystems in the Great Basin States Assessment and Monitoring Program within U.S. Geological Survey</t>
  </si>
  <si>
    <t>Justice and Mental Health Collaboration Reauthorization Act of 2022</t>
  </si>
  <si>
    <t>Examine and report on the prevalence of mentally ill offenders</t>
  </si>
  <si>
    <t>Law Enforcement De-Escalation Training Act of 2022</t>
  </si>
  <si>
    <t>Development by the Attorney General of training in alternatives to use of force, de-escalation techniques, and mental and behavioral health crises</t>
  </si>
  <si>
    <t>Grants to states by the Attorney General to fund training programs as developed for alternatives to use of force, de-escalation techniques, and mental and behavorial health crises, certification of training programs offered by public and private entities, development of continuing education requirements, and funds to pay for reporting requirements</t>
  </si>
  <si>
    <t>Consolidated Appropriations Act, 2023</t>
  </si>
  <si>
    <t>Div. D, sec. 204(a)</t>
  </si>
  <si>
    <t>Authorizes the Secretary of the Army to undertake the construction and implementation of levee stability programs or projects for such purposes as flood control, ecosystem restoration, water supply, water conveyance, and water quality objectives for the Calfed Bay-Delta</t>
  </si>
  <si>
    <t>Div. U, sec. 222</t>
  </si>
  <si>
    <t>Mental Illness Research, Education, and Clinical Centers of the Department of Veterans Affairs research on the effectiveness of the Veterans Crisis Line and areas for improvement for the Veterans Crisis Line.</t>
  </si>
  <si>
    <t>Div. U, sec. 401(b)(7)</t>
  </si>
  <si>
    <t>implement section 506 of the VA MISSION Act of 2018, PROGRAM ON ESTABLISHMENT OF PEER SPECIALISTS IN PATIENT ALIGNED CARE TEAM SETTINGS WITHIN MEDICAL CENTERS OF DEPARTMENT OF VETERANS AFFAIRS</t>
  </si>
  <si>
    <t>Div. U, sec. 502(d)</t>
  </si>
  <si>
    <t>Conduct in-home sleep studies for veterans</t>
  </si>
  <si>
    <t>Div. U, sec. 506(b)</t>
  </si>
  <si>
    <t>conducting research on the factors impacting veteran suicide and best practices for early intervention and support</t>
  </si>
  <si>
    <t>Div. D, sec. 205</t>
  </si>
  <si>
    <t>Grants for the Rio Grande Pueblos to plan, design, construct, or otherwise implement projects to repair, rehabilitate, reconstruct, or replace Pueblo irrigation infrastructure (sec.9106(g)(2) of original law)</t>
  </si>
  <si>
    <t>Div. D, sec. 206(b)</t>
  </si>
  <si>
    <t>Reclamation states emergency drought relief program</t>
  </si>
  <si>
    <t>Div. U, sec. 508</t>
  </si>
  <si>
    <t>ongoing and future research at the Translational Research Center of the Department of Veterans Affairs for traumatic brain injury and stress disorders</t>
  </si>
  <si>
    <t>Div. Q, sec. 101(c)(1)</t>
  </si>
  <si>
    <t>Pilot program providing grants to eligible entities to develop comprehensive plans for advanced air mobility infrastructure</t>
  </si>
  <si>
    <t>Div. S, sec. 202</t>
  </si>
  <si>
    <t>Funds and program for fishery resource disaster relief</t>
  </si>
  <si>
    <t>Div. T, sec. 346(g)(1)</t>
  </si>
  <si>
    <t>Secretary of Treasury to establish a program to encourage new programs and existing programs within the States to foster employee ownership throughout the United States and make grants for education and outreach, technical assistance and activities, and training</t>
  </si>
  <si>
    <t>Div. T, sec. 346(g)(2)</t>
  </si>
  <si>
    <t>Administrative expenses for the program to promote employee ownership</t>
  </si>
  <si>
    <t>Div. V, sec. 222</t>
  </si>
  <si>
    <t>Mental Illness Research, Education, and Clinical Centers of the Department of Veterans Affairs to conduct research on the effectiveness of the Veterans Crisis Line and areas for improvement for the Veterans Crisis Line.</t>
  </si>
  <si>
    <t>Div. V, sec. 401(b)(7)</t>
  </si>
  <si>
    <t>Expansion of the peer specialist support program under Section 506 of the VA Mission Act of 2018</t>
  </si>
  <si>
    <t>Div. AA, sec. 601(g)</t>
  </si>
  <si>
    <t>Program to insure that each public housing agency installs a qualifying smoke alarm in certain areas of each dwelling</t>
  </si>
  <si>
    <t>Div. BB, sec. 402</t>
  </si>
  <si>
    <t>Swimming pool safety grant program under authority of the Consumer Product Safety Commission</t>
  </si>
  <si>
    <t>Div. BB, sec. 403(b)</t>
  </si>
  <si>
    <t>Establish and carry out an education and awareness program to inform the public of methods to prevent drowning and entrapment in swimming pools and spas</t>
  </si>
  <si>
    <t>Div. DD, sec. 643</t>
  </si>
  <si>
    <t>United States African-American Burial Grounds Preservation Program</t>
  </si>
  <si>
    <t>Div. DD, sec. 646</t>
  </si>
  <si>
    <t>National Park Foundation: for matching contributions made to the foundation</t>
  </si>
  <si>
    <t>Div. FF, sec. 1101</t>
  </si>
  <si>
    <t>Within Substance Abuse and Mental Health Service Administration establishment of a behavioral health crisis coordinating office relating to behavioral health crisis care across the operating divisions and agencies of the Dept. of Health and Human Services, including Medicare &amp; Medicaid Services, and the Health Resources and Services Administration.</t>
  </si>
  <si>
    <t>Div. FF, sec. 1103(a)</t>
  </si>
  <si>
    <t>National Suicide Prevention Lifeline program</t>
  </si>
  <si>
    <t>Div. FF, sec. 1111</t>
  </si>
  <si>
    <t>Screening and treatment for maternal depression: grants to states to establish, improve and maintain programs for screening, assessment, and treatment services for women who are pregnant or have given birth in the previous 12 months</t>
  </si>
  <si>
    <t>Maternal mental health hotline</t>
  </si>
  <si>
    <t>Div. FF, sec. 1121</t>
  </si>
  <si>
    <t>National Mental Health and Substance Abuse Policy Laboratory: grants coordinated by the Assistant Secretary for Mental Health and Substance Abuse for evaluating and further developing a model to enhance prevention, diagnosis, intervention, treatment of, and recovery from mental illness, substance abuse disorders and related conditions</t>
  </si>
  <si>
    <t>Div. FF, sec. 1122</t>
  </si>
  <si>
    <t>Mental health crisis response partnership pilot program to establish new, or enhance existing, mobile crisis response teams that divert the response for mental health and substance use disorder crises from law enforcement to mobile crisis teams</t>
  </si>
  <si>
    <t>Div. FF, sec. 1122(b)(g)</t>
  </si>
  <si>
    <t>Mental health awareness training grants: grants to train teachers and other relevant school personnel to recognize symptoms of childhood and adolescent mental disorders, to refer family members to the appropriate mental health services, to train emergency services personnel, and to provide education to such teachers and personnel regarding resources</t>
  </si>
  <si>
    <t>Div. FF, sec. 1122(c)</t>
  </si>
  <si>
    <t>Adult suicide prevention: grants to implement suicide prevention and intervention programs for adult individuals</t>
  </si>
  <si>
    <t>Div. FF, sec. 1123(a)</t>
  </si>
  <si>
    <t>Assertive community treatment grant program: grants to establish and/or maintain assertive community treatments programs for adults with serious mental illness</t>
  </si>
  <si>
    <t>Div. FF, sec. 1123(b)</t>
  </si>
  <si>
    <t>Assisted outpatient treatment grant program for individuals with serious mental illness</t>
  </si>
  <si>
    <t>Div. FF, sec. 1131</t>
  </si>
  <si>
    <t>Center of Excellence for Eating Disorders</t>
  </si>
  <si>
    <t>Div. FF, sec. 1141(a)</t>
  </si>
  <si>
    <t>Community mental health services block grant: grants to states for a plan for comprehensive community mental health services to include health and mental health services, rehabilitation services, employment services, housing services, educational services, substance use disorder services, medical and dental care, and other support services</t>
  </si>
  <si>
    <t>Div. FF, sec. 1151</t>
  </si>
  <si>
    <t>Grants to eligible entities to enable such entities to develop, expand, and enhance access to mental health peer-delivered services.</t>
  </si>
  <si>
    <t>Div. FF, sec. 1201</t>
  </si>
  <si>
    <t>Provision of services for the prevention of, treatment of, and recovery from mental health and substance use disorders among American Indians, Alaska Natives, and Native Hawaiians</t>
  </si>
  <si>
    <t>Div. FF, sec. 1211</t>
  </si>
  <si>
    <t>Benefits for homeless individuals: grants through the Secretary of Health and Human Services grants to community-based public and private nonprofit entities for providing mental health and substance abuse services for homeless individuals</t>
  </si>
  <si>
    <t>Div. FF, sec. 1212</t>
  </si>
  <si>
    <t>Priority substance use disorder treatment needs of regional and national significance: grants through Substance Abuse and Mental Health Administration</t>
  </si>
  <si>
    <t>Div. FF, sec. 1213</t>
  </si>
  <si>
    <t>Evidence-based prescription opioid and heroin treatment and interventions demonstration grants from the Secretary of Health and Human Services</t>
  </si>
  <si>
    <t>Div. FF, sec. 1214</t>
  </si>
  <si>
    <t>Priority substance use disorder prevention needs of regional and national significance: funding for knowledge development and application projects for prevention and the conduct or support of evaluations of such projects, training and technical assistance, and targeted capacity response programs</t>
  </si>
  <si>
    <t>Div. FF, sec. 1215(c)(3)</t>
  </si>
  <si>
    <t>Grants to prevent and reduce the rate of underage alcohol consumption, including binge drinking, among students at institutions of higher education</t>
  </si>
  <si>
    <t>Div. FF, sec. 1215(d)(8)</t>
  </si>
  <si>
    <t>Develop or continue an intensive, multifaceted national media campaign aimed at adults to reduce underage drinking</t>
  </si>
  <si>
    <t>Div. FF, sec. 1215(e)(9)</t>
  </si>
  <si>
    <t>Community-based coalition enhancement grants to design, implement, evaluate, and disseminate comprehensive strategies to maximize the effectiveness of community-wide approaches to preventing and reducing underage drinking</t>
  </si>
  <si>
    <t>Div. FF, sec. 1215(f)(6)</t>
  </si>
  <si>
    <t>Awards to one or more entities representing pediatric providers and other related health professionals with demonstrated ability to increase among the members of such entities effective practices to reduce the prevalence of alcohol use among individuals under the age of 21, including college students</t>
  </si>
  <si>
    <t>Div. FF, sec. 1215(g)(1)</t>
  </si>
  <si>
    <t>Support for collection of data, and conduct or support research that is not duplicative of research currently being conducted or supported by the Department of Health and Human Services, on underage</t>
  </si>
  <si>
    <t>Div. FF, sec. 1215(g)(2)</t>
  </si>
  <si>
    <t>Contract with the National Academies of Sciences, Engineering, and Medicine to study developments in research on underage drinking and the implications of these developments</t>
  </si>
  <si>
    <t>Div. FF, sec. 1216</t>
  </si>
  <si>
    <t>Jail diversion programs: grants for the development and implement programs to divert individuals with mental illness from the criminal justice system to community-based services</t>
  </si>
  <si>
    <t>Div. FF, sec. 1218</t>
  </si>
  <si>
    <t>Assistance in transition from homelessness: grants through the Secretary of Health and Human Services for providing the services to individuals who are suffering from serious mental illness, or are suffering from serious mental illness and from substance use disorders, and are homeless or at imminent risk of becoming homeless</t>
  </si>
  <si>
    <t>Div. FF, sec. 1219(a)</t>
  </si>
  <si>
    <t>Grants from Secretary of Health and Human Services to expand access to drugs or devices for emergency treatment of known or suspected opioid overdose</t>
  </si>
  <si>
    <t>Div. FF, sec. 1220(a)</t>
  </si>
  <si>
    <t>Opioid overdose reversal medication, access, and education grants for access, education, and co-prescribing programs</t>
  </si>
  <si>
    <t>Div. FF, sec. 1221</t>
  </si>
  <si>
    <t>Program by the Secretary of Health and Human Services through grants to hospitals and emergency departments to develop, implement, enhance, or study alternatives to opioids for pain management in such settings</t>
  </si>
  <si>
    <t>Div. FF, sec. 1234</t>
  </si>
  <si>
    <t>A contract with the National Academies of Sciences, Engineering, and Medicine— (A) to study the quality and effectiveness of recovery housing in the United States and whether the availability of such housing meets demand; and (B) to identify recommendations to promote the availability of high-quality recovery housing</t>
  </si>
  <si>
    <t>Div. FF, sec. 1236</t>
  </si>
  <si>
    <t>The development of best practices for implementing suggested minimum standards for operating recovery housing, the development of common indicators to identify fraudulent recovery housing operations, and the dissemination of the best practices and common indicators to relevant stakeholders, and grants for states to promote the availability of recovery housing and services using best practices</t>
  </si>
  <si>
    <t>Div. FF, sec. 1245</t>
  </si>
  <si>
    <t>Block grants for prevention and treatment of substance use disorder: grant for planning, carrying out, and evaluating activities to prevent and treat substance use disorder</t>
  </si>
  <si>
    <t>Div. FF, sec. 1273</t>
  </si>
  <si>
    <t>Grant program for state and tribal response to opioid use disorders</t>
  </si>
  <si>
    <t>Div. FF, sec. 1301</t>
  </si>
  <si>
    <t>Grants and cooperative agreements to eligible entities to support the improvement of integrated care for physical and behavioral health care</t>
  </si>
  <si>
    <t>Div. FF, sec. 1311(a)</t>
  </si>
  <si>
    <t>Mental and behavioral health education and training grants to support recruitment of students for, and education and clinical experience in psychiatry, psychology, social work, family therapy and substance abuse disorder treatment and prevention</t>
  </si>
  <si>
    <t>Div. FF, sec. 1311</t>
  </si>
  <si>
    <t>Strengthening the mental and substance use disorders workforce: training demonstration program for medical residents and fellows, nurse practitioners, physicians assistants, health service psychologists and social workers to provide services in underserved community-based settings, and to establish, maintain, and improve academic units to provide the training and develop evidence-based practices</t>
  </si>
  <si>
    <t>Div. FF, sec. 1312</t>
  </si>
  <si>
    <t>Minority fellowship program: fellowships for postbaccalaureate training for mental and substance use disorder treatment professionals including in the fields of psychiatry, nursing, social work, psychology, marriage and family therapy, mental health counseling, and substance use disorder and addiction counseling</t>
  </si>
  <si>
    <t>Div. FF, sec. 1331(a)</t>
  </si>
  <si>
    <t>Grants to eligible States to enforce and ensure compliance with the mental health and substance use disorder parity provisions of section 2726 of the Public Health Service Act</t>
  </si>
  <si>
    <t>Div. FF, sec. 1402</t>
  </si>
  <si>
    <t>Infant and early childhood mental health promotion, intervention and treatment: grants to develop, maintain, or enhance infant and early childhood mental health promotion, intervention and treatment programs</t>
  </si>
  <si>
    <t>Div. FF, sec. 1411(b)</t>
  </si>
  <si>
    <t>Comprehensive community mental health services for children with emotional disturbance: grants through the Director of the Center for Mental Health Services to public entities for the purpose of providing comprehensive community mental health services to children with a serious emotional disturbance</t>
  </si>
  <si>
    <t>Div. FF, sec. 1412</t>
  </si>
  <si>
    <t>Substance use disorder treatment and early intervention services for children and adolescents: grants for early identification and services, treatment services for co-occurring mental illness and substance use disorder, and assistance to pregnant women and parenting women with substance use disorders</t>
  </si>
  <si>
    <t>Div. FF, sec. 1422</t>
  </si>
  <si>
    <t>Youth suicide early intervention and prevention strategies: grants to develop and implement state-sponsored statewide or tribal youth suicide early intervention and prevention strategies</t>
  </si>
  <si>
    <t>Div. FF, sec. 1421</t>
  </si>
  <si>
    <t>Garrett Lee Smith Memorial Reauthorization - suicide prevention technical assistance center: through Assistant Secretary establish a research, training, and technical assistance resource center</t>
  </si>
  <si>
    <t>Div. FF, sec. 1423(5)</t>
  </si>
  <si>
    <t>Mental health and substance use disorder services for students in higher education: grants to institutions of higher education to enhance services for students with mental health or substance use disorders, reduce stigma and improve identification of students at risk</t>
  </si>
  <si>
    <t>Div. FF, sec. 1424</t>
  </si>
  <si>
    <t>Mental and behavioral health outreach and education at institutions of higher education through a national public education campaign: interagency, public-private sector working group to plan, establish, and begin coordinating and evaluating a targeted public education campaign</t>
  </si>
  <si>
    <t>Div. FF, sec. 3504(a)</t>
  </si>
  <si>
    <t>Trauma and emergency care under Assistant Secretary of Preparedness and Response: research, training, evaluations, collection and dissemination of trauma data, technical assistance to State and local agencies for grants for regionalized systems for emergency care response, grants for trauma systems for improvement of trauma care, and programs for improving trauma care in rural areas</t>
  </si>
  <si>
    <t>Div. FF, sec. 2201(a)</t>
  </si>
  <si>
    <t>Grants, contracts, or cooperative agreements for the conduct of evidence-based or evidence-informed projects to improve health outcomes by improving the capacity of such entities to address factors that contribute to negative health outcomes in communities</t>
  </si>
  <si>
    <t>Div. FF, sec. 2211(6)</t>
  </si>
  <si>
    <t>Responsibilities of the Centers of Disease Control and Prevention (CDC) to defend and combat public health threats through improvement of facilities and capabilities of the CDC</t>
  </si>
  <si>
    <t>Systems of public health communications and surveillance networks, modernization of public health situational awareness and biosurveillance, coordination of state and regional systems to enhance situational awareness in public health emergencies</t>
  </si>
  <si>
    <t>Div. FF, sec. 2221(a)</t>
  </si>
  <si>
    <t>Public health workforce loan repayment program to insure a supply of public health professionals including the Bio-Preparedness Workforce Pilot program for health professionals with expertise in infectious diseases</t>
  </si>
  <si>
    <t>Div. FF, sec. 2222(a)</t>
  </si>
  <si>
    <t>Grants or contracts to promote positive health behaviors and outcomes for populations in medically underserved communities by everaging community health workers, including by addressing ongoing and longer-term community health needs, and by building the capacity of the community health worker workforce</t>
  </si>
  <si>
    <t>Div. FF, sec. 2227(g)</t>
  </si>
  <si>
    <t>Grants or contracts to support access to accredited continuing medical education for primary care physicians and health care providers at community health centers or rural health clinics to improve and increase access to care for patients in rural and medically underserved areas</t>
  </si>
  <si>
    <t>Div. FF, sec. 2311</t>
  </si>
  <si>
    <t>Department of Health and Human Services program to control biological agents and toxins that threaten public health and safety</t>
  </si>
  <si>
    <t>Div. FF, sec. 2331</t>
  </si>
  <si>
    <t>Establishment and operation of Advanced Research Projects Agency-Health</t>
  </si>
  <si>
    <t>Div. FF, sec. 2405(b)</t>
  </si>
  <si>
    <t>Strategic National Stockpile and security countermeasure procurements</t>
  </si>
  <si>
    <t>Div. FF, sec. 2409(a)</t>
  </si>
  <si>
    <t>Pilot program of grants or cooperative agreements to establish, expand, or maintain a stockpile of appropriate drugs, vaccines and other biological products, medical devices, and other medical supplies determined by the State to be necessary to respond to a public health emergency</t>
  </si>
  <si>
    <t>Div. FF, sec. 3101</t>
  </si>
  <si>
    <t>Critical path public-private partnership</t>
  </si>
  <si>
    <t>Div. FF, sec. 6103(a)(1)</t>
  </si>
  <si>
    <t>Promoting Safe and Stable Families Program: mandatory funding</t>
  </si>
  <si>
    <t>Div. FF, sec. 6103(b)(1)</t>
  </si>
  <si>
    <t>Stephanie Tubbs Jones Child Welfare Services Program</t>
  </si>
  <si>
    <t>Div. FF, sec. 6103(b)(2)</t>
  </si>
  <si>
    <t>Promoting Safe and Stable Families Program: discretionary and targeted grant</t>
  </si>
  <si>
    <t>Div. HH, sec. 201(I)(1)</t>
  </si>
  <si>
    <t>Greenhouse Gas Technical Assistance Provider and Third-Party Verifier Program</t>
  </si>
  <si>
    <t>Div. HH, sec. 603</t>
  </si>
  <si>
    <t>Chronic wasting disease research and management program</t>
  </si>
  <si>
    <t>Div. JJ, sec. 203(a)(1)</t>
  </si>
  <si>
    <t>Establish a program to provide competitive financial assistance and cooperative agreements to reduce the lethal and sub-lethal effects of human activities on North Atlantic right whales</t>
  </si>
  <si>
    <t>Div. JJ, sec. 301(c)</t>
  </si>
  <si>
    <t>Continuous Plankton Recorder survey</t>
  </si>
  <si>
    <t>Div. FF, sec. 3102</t>
  </si>
  <si>
    <t>Best Pharmaceuticals for Children Program</t>
  </si>
  <si>
    <t>Div. FF, sec. 3104</t>
  </si>
  <si>
    <t>Reauthorization of the Pediatric Device Consortia Program</t>
  </si>
  <si>
    <t>Div. FF, sec. 3107</t>
  </si>
  <si>
    <t>Reauthorization of Orphan Drug Grants</t>
  </si>
  <si>
    <t>Div. FF, sec. 3016((i)1)</t>
  </si>
  <si>
    <t>Advanced and continuous pharmaceutical manufacturing</t>
  </si>
  <si>
    <t>Div. FF, sec. 3508</t>
  </si>
  <si>
    <t>Modernization of cosmetic regulations</t>
  </si>
  <si>
    <t>National Heritage Area Act</t>
  </si>
  <si>
    <t>Sec. 5(b)</t>
  </si>
  <si>
    <t>John H. Chafee Blackstone River Valley National Heritage Corridor Commission</t>
  </si>
  <si>
    <t>Illinois and Michigan Canal National Heritage Corridor</t>
  </si>
  <si>
    <t>Delaware and Lehigh National Heritage Corridor</t>
  </si>
  <si>
    <t>The Last Green Valley National Heritage Corridor</t>
  </si>
  <si>
    <t>National Coal Heritage Area</t>
  </si>
  <si>
    <t>Tennessee Civil War Heritage Area</t>
  </si>
  <si>
    <t>Augusta Canal National Heritage Corridor</t>
  </si>
  <si>
    <t>Rivers of Steel National Heritage Area</t>
  </si>
  <si>
    <t>Essex National Heritage Area</t>
  </si>
  <si>
    <t>South Carolina National Heritage Area</t>
  </si>
  <si>
    <t>America's Agricultural Heritage Partnership</t>
  </si>
  <si>
    <t>Ohio &amp; Erie National Heritage Canalway</t>
  </si>
  <si>
    <t>Maurice D. Hinchey Hudson River Valley National Heritage Area</t>
  </si>
  <si>
    <t>Motorcities National Heritage Area</t>
  </si>
  <si>
    <t>Lackawanna Valley National Heritage Area</t>
  </si>
  <si>
    <t>Schuylkill River Valley National Heritage Area</t>
  </si>
  <si>
    <t>Wheeling National Heritage Area</t>
  </si>
  <si>
    <t>Yuma Crossing National Heritage Area</t>
  </si>
  <si>
    <t>Erie Canalway National Heritage Area</t>
  </si>
  <si>
    <t>Blue Ridge National Heritage Area</t>
  </si>
  <si>
    <t>National Aviation Heritage Area</t>
  </si>
  <si>
    <t>Oil Region National Heritage Area</t>
  </si>
  <si>
    <t>Northern Rio Grande National Heritage Area</t>
  </si>
  <si>
    <t>Atchafalaya National Heritage Area</t>
  </si>
  <si>
    <t>Arabia Mountain National Heritage Area</t>
  </si>
  <si>
    <t>Mormon Pioneer National Heritage Area</t>
  </si>
  <si>
    <t>Freedom's Frontier National Heritage Area</t>
  </si>
  <si>
    <t>Upper Housatonic Valley National Heritage Area</t>
  </si>
  <si>
    <t>Champlain Valley National Heritage Partnership</t>
  </si>
  <si>
    <t>Great Basin National Heritage Route</t>
  </si>
  <si>
    <t>Gullah/Geechee Cultural Heritage Corridor</t>
  </si>
  <si>
    <t>Crossroads of the American Revolution National Heritage Area</t>
  </si>
  <si>
    <t>Abraham Lincoln National Heritage Area</t>
  </si>
  <si>
    <t>Journey Through Hallowed Ground National Heritage Area</t>
  </si>
  <si>
    <t>Niagara Falls National Heritage Area</t>
  </si>
  <si>
    <t>Sangre de Christo National Heritage Area</t>
  </si>
  <si>
    <t>Cache La Poudre River National Heritage Area</t>
  </si>
  <si>
    <t>South Park National Heritage Area</t>
  </si>
  <si>
    <t>Northern Plains National Heritage Area</t>
  </si>
  <si>
    <t>Baltimore National Heritage Area</t>
  </si>
  <si>
    <t>Freedom's Way National Heritage Area</t>
  </si>
  <si>
    <t>Mississippi Hills National Heritage Area</t>
  </si>
  <si>
    <t>Mississippi Delta National Heritage Area</t>
  </si>
  <si>
    <t>Muscle Shoals National Heritage Area</t>
  </si>
  <si>
    <t>Kenai Mountains-Turnagain Arm Heritage Area</t>
  </si>
  <si>
    <t>Abolish Trafficking Reauthorization Act of 2022</t>
  </si>
  <si>
    <t>Sec. 104(b)</t>
  </si>
  <si>
    <t>Grants to eligible States to develop, improve, or expand programs that assist State, local, or Tribal child welfare agencies with identifying and responding to children who are, or are at risk or being, victims of trafficking</t>
  </si>
  <si>
    <t>Sec. 406(a)</t>
  </si>
  <si>
    <t>FBI team of agents to be assigned to exclusively investigate labor trafficking</t>
  </si>
  <si>
    <t>Sec. 406(b)</t>
  </si>
  <si>
    <t>Team agents within the Center for Countering Human Trafficking of the Department of Homeland Security to be assigned to exclusively investigate labor trafficking</t>
  </si>
  <si>
    <t>Sec. 105(a)</t>
  </si>
  <si>
    <t>Airport personnel training to identify and report human trafficking victims</t>
  </si>
  <si>
    <t>Sec. 105(d)(1)</t>
  </si>
  <si>
    <t>Human Smuggling and Traffic Center</t>
  </si>
  <si>
    <t>Sec. 105(d)(2)</t>
  </si>
  <si>
    <t>Presidential award for extraordinary efforts to combat trafficking in persons</t>
  </si>
  <si>
    <t>Sec. 105(d)(3C)</t>
  </si>
  <si>
    <t>Research on domestic and international trafficking in persons</t>
  </si>
  <si>
    <t>Sec. 105(e)</t>
  </si>
  <si>
    <t>Grants for the Rape, Abuse, and Incest National Network</t>
  </si>
  <si>
    <t>Trafficking Victims Prevention and Protection Reauthorization Act of 2022</t>
  </si>
  <si>
    <t>Sec. 201(1)(B)</t>
  </si>
  <si>
    <t>The Secretary of Health and Human Services and the Attorney General, in consultation with the Secretary of Labor, shall establish a program to assist United States citizens and aliens lawfully admitted for permanent residence who are victims of severe forms of trafficking</t>
  </si>
  <si>
    <t>To the Attorney General for additional benefits for victims of trafficking, to carry out the purposes of 22 USC 7105(f)</t>
  </si>
  <si>
    <t>Sec. 201(3)</t>
  </si>
  <si>
    <t>Assistance to trafficking victims in the United States through the Department of Labor to carry out purposes of 22 U.S.C. 7105(b)</t>
  </si>
  <si>
    <t>Sec. 201(4)(A)</t>
  </si>
  <si>
    <t>For U.S. Immigration and Customs Enforcement to investigate severe forms of trafficking in persons</t>
  </si>
  <si>
    <t>For the Commissioner of U.S. Customs and Border Protection to strengthen the enforcement of section 307 of the Tariff Act of 1930</t>
  </si>
  <si>
    <t>Childhood Cancer Survivorship, Treatment, Access, and Research Reauthorization Act of 2022</t>
  </si>
  <si>
    <t>National Institutes of Health/National Cancer Institute: pediatric cancer research and pediatric cancer survivorship research including strengthening children's cancer biorepositories; Centers for Disease Control: awards to state cancer registries to enhance and expand infrastructure to understand the epidemiology of cancer in children, adolescents and young adults</t>
  </si>
  <si>
    <t>Respect for Child Survivors Act</t>
  </si>
  <si>
    <t>Children's advocacy programs for child abuse</t>
  </si>
  <si>
    <t>State Offices of Rural Health Reauthorization Act of 2022</t>
  </si>
  <si>
    <t>Grants to states through the Health Resources and Services Administration for the purpose of improving health care in rural areas through the operation of State offices of rural health</t>
  </si>
  <si>
    <t>1. Select the drop-down menu in column I, row 6, and ensure that only “2022” is checked.</t>
  </si>
  <si>
    <t>2. Select the drop-down menu in column L, row 6, and ensure that only “House Committee on Energy and Commerce” is checked.</t>
  </si>
  <si>
    <t>To clear any of your filtered selections and return the presentation of the data to all items contained in the worksheet, select the “Data” tab in the ribbon at the top of the Excel program, and within the “Sort &amp; Filter” section select the “Clear” option.</t>
  </si>
  <si>
    <t>The resulting outcome shows each entry in the worksheet in ascending order. The first authorization of appropriations in CBO's database to expire will appear in row 7, and the authorization that is set to expire at the furthest point in the future will appear at the bottom of the list.</t>
  </si>
  <si>
    <r>
      <t xml:space="preserve">The year for which the data were used to produce CBO’s annual report </t>
    </r>
    <r>
      <rPr>
        <i/>
        <sz val="11"/>
        <color theme="1"/>
        <rFont val="Arial"/>
        <family val="2"/>
      </rPr>
      <t>Expired and Expiring Authorizations of Appropriations</t>
    </r>
    <r>
      <rPr>
        <sz val="11"/>
        <color theme="1"/>
        <rFont val="Arial"/>
        <family val="2"/>
      </rPr>
      <t xml:space="preserve"> (until 2016 titled </t>
    </r>
    <r>
      <rPr>
        <i/>
        <sz val="11"/>
        <color theme="1"/>
        <rFont val="Arial"/>
        <family val="2"/>
      </rPr>
      <t>Unauthorized Appropriations and Expiring Authorizations</t>
    </r>
    <r>
      <rPr>
        <sz val="11"/>
        <color theme="1"/>
        <rFont val="Arial"/>
        <family val="2"/>
      </rPr>
      <t>). For all of the data shown here, the report year is 2023.</t>
    </r>
  </si>
  <si>
    <t>www.cbo.gov/publication/58954</t>
  </si>
  <si>
    <t>https://tinyurl.com/yc8pnkfu</t>
  </si>
  <si>
    <r>
      <t xml:space="preserve">For a glossary of common budgetary and economic terms, see </t>
    </r>
    <r>
      <rPr>
        <sz val="11"/>
        <color rgb="FF44546A"/>
        <rFont val="Arial"/>
        <family val="2"/>
      </rPr>
      <t>www.cbo.gov/publication/42904</t>
    </r>
    <r>
      <rPr>
        <sz val="11"/>
        <rFont val="Arial"/>
        <family val="2"/>
      </rPr>
      <t>.</t>
    </r>
  </si>
  <si>
    <t>If, from within the information above, you would like to see only authorizations of appropriations for which CBO could identify an appropriated amount in the enacted fiscal year 2023 appropriation legislation, you would repeat steps 1 and 2 above and then:</t>
  </si>
  <si>
    <r>
      <t xml:space="preserve">The House and Senate Committees on Appropriations draft legislation to set annual funding for federal agencies and programs. </t>
    </r>
    <r>
      <rPr>
        <sz val="11"/>
        <rFont val="Arial"/>
        <family val="2"/>
      </rPr>
      <t>Each</t>
    </r>
    <r>
      <rPr>
        <sz val="11"/>
        <color theme="1"/>
        <rFont val="Arial"/>
        <family val="2"/>
      </rPr>
      <t xml:space="preserve"> has 12 subcommittees with jurisdiction over subsets of agencies and programs.</t>
    </r>
  </si>
  <si>
    <r>
      <t>The</t>
    </r>
    <r>
      <rPr>
        <sz val="11"/>
        <rFont val="Arial"/>
        <family val="2"/>
      </rPr>
      <t xml:space="preserve"> relevant committee of jurisdiction</t>
    </r>
    <r>
      <rPr>
        <sz val="11"/>
        <color theme="1"/>
        <rFont val="Arial"/>
        <family val="2"/>
      </rPr>
      <t xml:space="preserve"> in either chamber with primary responsibility for considering legislation to create or modify authorizations of appropriations</t>
    </r>
    <r>
      <rPr>
        <sz val="11"/>
        <color rgb="FFFF0000"/>
        <rFont val="Arial"/>
        <family val="2"/>
      </rPr>
      <t xml:space="preserve"> </t>
    </r>
    <r>
      <rPr>
        <sz val="11"/>
        <rFont val="Arial"/>
        <family val="2"/>
      </rPr>
      <t>for the government agencies and programs listed in this file</t>
    </r>
    <r>
      <rPr>
        <sz val="11"/>
        <color theme="1"/>
        <rFont val="Arial"/>
        <family val="2"/>
      </rPr>
      <t>.</t>
    </r>
  </si>
  <si>
    <r>
      <t xml:space="preserve">The appropriation (that is, budget authority) that CBO has identified in relevant annual appropriation bills during a fiscal year for an agency or program that is associated with a given authorization of appropriations. Some programs are small enough that </t>
    </r>
    <r>
      <rPr>
        <sz val="11"/>
        <rFont val="Arial"/>
        <family val="2"/>
      </rPr>
      <t>neither the statutory text of that year's appropriation bills nor their accompanying legislative history mentions an explicit amount of funding for them; CBO characterizes such funding as “unidentifiable.”</t>
    </r>
  </si>
  <si>
    <r>
      <t>For example, if you wanted to see authorizations of appropriations only within the jurisdiction of the House Committee on Energy and Commerce</t>
    </r>
    <r>
      <rPr>
        <sz val="11"/>
        <color rgb="FFFF0000"/>
        <rFont val="Arial"/>
        <family val="2"/>
      </rPr>
      <t xml:space="preserve"> </t>
    </r>
    <r>
      <rPr>
        <sz val="11"/>
        <rFont val="Arial"/>
        <family val="2"/>
      </rPr>
      <t>that expired during fiscal year 2022, you would:</t>
    </r>
  </si>
  <si>
    <t>To view a subset of the data, you may select the category or categories you would like to filter using the drop-down menus in row 6.</t>
  </si>
  <si>
    <t>To view and sort the data, you would use the same drop-down menus in row 6.</t>
  </si>
  <si>
    <t>\</t>
  </si>
  <si>
    <t>Appropriations Committee, Appropriations Subcommittee</t>
  </si>
  <si>
    <r>
      <t>This file presents data that supplement CBO’s April 2023 report</t>
    </r>
    <r>
      <rPr>
        <i/>
        <sz val="11"/>
        <rFont val="Arial"/>
        <family val="2"/>
      </rPr>
      <t xml:space="preserve"> Expired and Expiring Authorizations of Appropriations: Fiscal Year 2023</t>
    </r>
    <r>
      <rPr>
        <sz val="11"/>
        <rFont val="Arial"/>
        <family val="2"/>
      </rPr>
      <t>.</t>
    </r>
  </si>
  <si>
    <r>
      <t>This file provides the data cataloged in CBO's Legislative Classification System (LCS) that were incorporated into the April 2023 report</t>
    </r>
    <r>
      <rPr>
        <i/>
        <sz val="11"/>
        <color theme="1"/>
        <rFont val="Arial"/>
        <family val="2"/>
      </rPr>
      <t xml:space="preserve"> Expired and Expiring Authorizations of Appropriations: Fiscal Year 2023</t>
    </r>
    <r>
      <rPr>
        <sz val="11"/>
        <color theme="1"/>
        <rFont val="Arial"/>
        <family val="2"/>
      </rPr>
      <t>. The data provide information on each authorization of appropriations cataloged in the LCS. The amounts of the authorizations of appropriations and the identifiable appropriations are presented in thousands of dollars.</t>
    </r>
  </si>
  <si>
    <r>
      <t xml:space="preserve">This file presents data that supplement CBO’s April 2023 report </t>
    </r>
    <r>
      <rPr>
        <i/>
        <sz val="11"/>
        <rFont val="Arial"/>
        <family val="2"/>
      </rPr>
      <t>Expired and Expiring Authorizations of Appropriations: Fiscal Year 2023</t>
    </r>
    <r>
      <rPr>
        <sz val="11"/>
        <rFont val="Arial"/>
        <family val="2"/>
      </rPr>
      <t>.</t>
    </r>
  </si>
  <si>
    <r>
      <t xml:space="preserve">This file presents data that supplement CBO’s April 2023 report </t>
    </r>
    <r>
      <rPr>
        <i/>
        <sz val="11"/>
        <rFont val="Arial"/>
        <family val="2"/>
      </rPr>
      <t>Expired and Expiring Authorizations of Appropriations: Fiscal Year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</si>
</sst>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sz val="11"/>
      <name val="Arial"/>
      <family val="2"/>
    </font>
    <font>
      <sz val="12"/>
      <name val="Arial"/>
      <family val="2"/>
    </font>
    <font>
      <sz val="11"/>
      <color theme="1"/>
      <name val="Arial"/>
      <family val="2"/>
    </font>
    <font>
      <sz val="11"/>
      <color theme="3"/>
      <name val="Arial"/>
      <family val="2"/>
    </font>
    <font>
      <u/>
      <sz val="10"/>
      <color theme="10"/>
      <name val="Arial"/>
      <family val="2"/>
    </font>
    <font>
      <b/>
      <sz val="11"/>
      <color theme="1"/>
      <name val="Arial"/>
      <family val="2"/>
    </font>
    <font>
      <i/>
      <sz val="11"/>
      <name val="Arial"/>
      <family val="2"/>
    </font>
    <font>
      <sz val="11"/>
      <color rgb="FFFF0000"/>
      <name val="Arial"/>
      <family val="2"/>
    </font>
    <font>
      <b/>
      <sz val="14"/>
      <name val="Arial"/>
      <family val="2"/>
    </font>
    <font>
      <b/>
      <sz val="11"/>
      <name val="Arial"/>
      <family val="2"/>
    </font>
    <font>
      <b/>
      <u/>
      <sz val="11"/>
      <name val="Arial"/>
      <family val="2"/>
    </font>
    <font>
      <u/>
      <sz val="11"/>
      <color rgb="FF44546A"/>
      <name val="Arial"/>
      <family val="2"/>
    </font>
    <font>
      <i/>
      <sz val="11"/>
      <color theme="1"/>
      <name val="Arial"/>
      <family val="2"/>
    </font>
    <font>
      <sz val="11"/>
      <color rgb="FF44546A"/>
      <name val="Arial"/>
      <family val="2"/>
    </font>
  </fonts>
  <fills count="4">
    <fill>
      <patternFill patternType="none"/>
    </fill>
    <fill>
      <patternFill patternType="gray125"/>
    </fill>
    <fill>
      <patternFill patternType="solid">
        <fgColor rgb="FFD3D3D3"/>
        <bgColor indexed="64"/>
      </patternFill>
    </fill>
    <fill>
      <patternFill patternType="solid">
        <fgColor theme="0"/>
        <bgColor indexed="64"/>
      </patternFill>
    </fill>
  </fills>
  <borders count="10">
    <border>
      <left/>
      <right/>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3" fillId="0" borderId="0"/>
  </cellStyleXfs>
  <cellXfs count="74">
    <xf numFmtId="0" fontId="0" fillId="0" borderId="0" xfId="0"/>
    <xf numFmtId="0" fontId="2" fillId="0" borderId="0" xfId="1" applyFont="1" applyAlignment="1">
      <alignment horizontal="left" vertical="center"/>
    </xf>
    <xf numFmtId="0" fontId="2" fillId="0" borderId="0" xfId="2" applyFont="1"/>
    <xf numFmtId="0" fontId="4" fillId="0" borderId="0" xfId="0" applyFont="1"/>
    <xf numFmtId="0" fontId="5" fillId="0" borderId="0" xfId="4" applyFont="1" applyFill="1" applyAlignment="1">
      <alignment horizontal="left" vertical="center"/>
    </xf>
    <xf numFmtId="0" fontId="4" fillId="0" borderId="0" xfId="5" applyFont="1"/>
    <xf numFmtId="0" fontId="7" fillId="0" borderId="1" xfId="0" applyFont="1" applyBorder="1"/>
    <xf numFmtId="0" fontId="7" fillId="0" borderId="0" xfId="0" applyFont="1"/>
    <xf numFmtId="0" fontId="4" fillId="0" borderId="0" xfId="0" applyFont="1" applyAlignment="1">
      <alignment vertical="center" wrapText="1"/>
    </xf>
    <xf numFmtId="0" fontId="4" fillId="0" borderId="0" xfId="0" applyFont="1" applyAlignment="1">
      <alignment horizontal="left" vertical="top" wrapText="1"/>
    </xf>
    <xf numFmtId="0" fontId="7" fillId="0" borderId="1" xfId="0" applyFont="1" applyBorder="1" applyAlignment="1">
      <alignment vertical="top"/>
    </xf>
    <xf numFmtId="0" fontId="4" fillId="0" borderId="1" xfId="0" applyFont="1" applyBorder="1" applyAlignment="1">
      <alignment horizontal="left" vertical="top" wrapText="1"/>
    </xf>
    <xf numFmtId="0" fontId="4" fillId="0" borderId="0" xfId="5" applyFont="1" applyAlignment="1">
      <alignment horizontal="left" vertical="top" wrapText="1"/>
    </xf>
    <xf numFmtId="0" fontId="4" fillId="0" borderId="0" xfId="0" applyFont="1" applyAlignment="1">
      <alignment horizontal="center"/>
    </xf>
    <xf numFmtId="0" fontId="7" fillId="0" borderId="1" xfId="0" applyFont="1" applyBorder="1" applyAlignment="1">
      <alignment horizontal="center"/>
    </xf>
    <xf numFmtId="0" fontId="7" fillId="0" borderId="0" xfId="0" applyFont="1" applyAlignment="1">
      <alignment horizontal="center"/>
    </xf>
    <xf numFmtId="0" fontId="4" fillId="0" borderId="0" xfId="0" applyFont="1" applyAlignment="1">
      <alignment horizontal="right"/>
    </xf>
    <xf numFmtId="0" fontId="7" fillId="0" borderId="1" xfId="0" applyFont="1" applyBorder="1" applyAlignment="1">
      <alignment horizontal="right"/>
    </xf>
    <xf numFmtId="0" fontId="7" fillId="0" borderId="0" xfId="0" applyFont="1" applyAlignment="1">
      <alignment horizontal="right"/>
    </xf>
    <xf numFmtId="0" fontId="9" fillId="0" borderId="0" xfId="0" applyFont="1"/>
    <xf numFmtId="0" fontId="2" fillId="0" borderId="0" xfId="0" applyFont="1"/>
    <xf numFmtId="0" fontId="10" fillId="3" borderId="2" xfId="0" applyFont="1" applyFill="1" applyBorder="1" applyAlignment="1">
      <alignment vertical="center"/>
    </xf>
    <xf numFmtId="0" fontId="2" fillId="3" borderId="3" xfId="0" applyFont="1" applyFill="1" applyBorder="1"/>
    <xf numFmtId="0" fontId="2" fillId="3" borderId="4" xfId="0" applyFont="1" applyFill="1" applyBorder="1"/>
    <xf numFmtId="0" fontId="8" fillId="3" borderId="5" xfId="0" applyFont="1" applyFill="1" applyBorder="1" applyAlignment="1">
      <alignment vertical="center"/>
    </xf>
    <xf numFmtId="0" fontId="2" fillId="3" borderId="0" xfId="0" applyFont="1" applyFill="1"/>
    <xf numFmtId="0" fontId="2" fillId="3" borderId="6" xfId="0" applyFont="1" applyFill="1" applyBorder="1"/>
    <xf numFmtId="0" fontId="11" fillId="3" borderId="5" xfId="0" applyFont="1" applyFill="1" applyBorder="1" applyAlignment="1">
      <alignment vertical="center"/>
    </xf>
    <xf numFmtId="0" fontId="2" fillId="3" borderId="5" xfId="0" applyFont="1" applyFill="1" applyBorder="1" applyAlignment="1">
      <alignment vertical="center"/>
    </xf>
    <xf numFmtId="0" fontId="2" fillId="3" borderId="0" xfId="0" applyFont="1" applyFill="1" applyAlignment="1">
      <alignment horizontal="left"/>
    </xf>
    <xf numFmtId="0" fontId="4" fillId="3" borderId="7" xfId="0" applyFont="1" applyFill="1" applyBorder="1"/>
    <xf numFmtId="0" fontId="4" fillId="3" borderId="8" xfId="0" applyFont="1" applyFill="1" applyBorder="1"/>
    <xf numFmtId="0" fontId="4" fillId="3" borderId="9" xfId="0" applyFont="1" applyFill="1" applyBorder="1"/>
    <xf numFmtId="49" fontId="7" fillId="2" borderId="0" xfId="0" applyNumberFormat="1" applyFont="1" applyFill="1" applyAlignment="1">
      <alignment horizontal="center"/>
    </xf>
    <xf numFmtId="0" fontId="7" fillId="2" borderId="0" xfId="0" applyFont="1" applyFill="1" applyAlignment="1">
      <alignment horizontal="center"/>
    </xf>
    <xf numFmtId="0" fontId="7" fillId="2" borderId="0" xfId="0" applyFont="1" applyFill="1"/>
    <xf numFmtId="49" fontId="4"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wrapText="1"/>
    </xf>
    <xf numFmtId="0" fontId="7" fillId="0" borderId="0" xfId="0" applyFont="1" applyAlignment="1">
      <alignment vertical="top"/>
    </xf>
    <xf numFmtId="0" fontId="11" fillId="0" borderId="0" xfId="0" applyFont="1" applyAlignment="1">
      <alignment vertical="top"/>
    </xf>
    <xf numFmtId="0" fontId="4" fillId="0" borderId="1" xfId="0" applyFont="1" applyBorder="1"/>
    <xf numFmtId="0" fontId="4" fillId="0" borderId="0" xfId="0" applyFont="1" applyAlignment="1">
      <alignment wrapText="1"/>
    </xf>
    <xf numFmtId="0" fontId="2" fillId="0" borderId="0" xfId="3" applyFont="1" applyFill="1" applyAlignment="1"/>
    <xf numFmtId="0" fontId="2" fillId="0" borderId="0" xfId="3" applyFont="1" applyAlignment="1"/>
    <xf numFmtId="0" fontId="5" fillId="0" borderId="0" xfId="3"/>
    <xf numFmtId="14" fontId="4" fillId="0" borderId="0" xfId="0" applyNumberFormat="1" applyFont="1" applyAlignment="1">
      <alignment horizontal="center"/>
    </xf>
    <xf numFmtId="3" fontId="4" fillId="0" borderId="0" xfId="0" applyNumberFormat="1" applyFont="1" applyAlignment="1">
      <alignment horizontal="right"/>
    </xf>
    <xf numFmtId="0" fontId="13" fillId="0" borderId="0" xfId="3" applyFont="1"/>
    <xf numFmtId="0" fontId="13" fillId="0" borderId="0" xfId="0" applyFont="1"/>
    <xf numFmtId="0" fontId="4" fillId="0" borderId="0" xfId="0" applyFont="1" applyFill="1" applyAlignment="1">
      <alignment vertical="center" wrapText="1"/>
    </xf>
    <xf numFmtId="0" fontId="4" fillId="0" borderId="0" xfId="0" applyFont="1" applyFill="1"/>
    <xf numFmtId="0" fontId="9" fillId="0" borderId="0" xfId="0" applyFont="1" applyFill="1"/>
    <xf numFmtId="0" fontId="15" fillId="0" borderId="0" xfId="3" applyFont="1"/>
    <xf numFmtId="0" fontId="15" fillId="0" borderId="0" xfId="3" applyFont="1" applyFill="1" applyAlignment="1"/>
    <xf numFmtId="0" fontId="2" fillId="0" borderId="0" xfId="1" applyFont="1" applyAlignment="1">
      <alignment horizontal="left" vertical="center"/>
    </xf>
    <xf numFmtId="0" fontId="4" fillId="0" borderId="0" xfId="0" applyFont="1" applyAlignment="1">
      <alignment wrapText="1"/>
    </xf>
    <xf numFmtId="0" fontId="5" fillId="0" borderId="0" xfId="3" applyAlignment="1">
      <alignment horizontal="left" vertical="center" wrapText="1"/>
    </xf>
    <xf numFmtId="0" fontId="5" fillId="0" borderId="0" xfId="3" applyAlignment="1">
      <alignment horizontal="left" wrapText="1"/>
    </xf>
    <xf numFmtId="0" fontId="4" fillId="0" borderId="0" xfId="0" applyFont="1" applyAlignment="1">
      <alignment horizontal="left" wrapText="1"/>
    </xf>
    <xf numFmtId="0" fontId="2" fillId="3" borderId="0" xfId="0" applyFont="1" applyFill="1" applyAlignment="1">
      <alignment horizontal="left" vertical="top" wrapText="1"/>
    </xf>
    <xf numFmtId="0" fontId="2" fillId="3" borderId="6" xfId="0" applyFont="1" applyFill="1" applyBorder="1" applyAlignment="1">
      <alignment horizontal="left" vertical="top" wrapText="1"/>
    </xf>
    <xf numFmtId="0" fontId="5" fillId="0" borderId="0" xfId="3"/>
    <xf numFmtId="0" fontId="4" fillId="0" borderId="0" xfId="0" applyFont="1" applyAlignment="1">
      <alignment vertical="top" wrapText="1"/>
    </xf>
    <xf numFmtId="0" fontId="11" fillId="0" borderId="0" xfId="0" applyFont="1" applyAlignment="1">
      <alignment vertical="top" wrapText="1"/>
    </xf>
    <xf numFmtId="0" fontId="4" fillId="0" borderId="0" xfId="0" applyFont="1" applyAlignment="1">
      <alignment horizontal="center"/>
    </xf>
    <xf numFmtId="0" fontId="7" fillId="0" borderId="0" xfId="0" applyFont="1" applyAlignment="1">
      <alignment vertical="top"/>
    </xf>
    <xf numFmtId="0" fontId="4" fillId="0" borderId="0" xfId="0" applyFont="1" applyAlignment="1">
      <alignment vertical="top"/>
    </xf>
    <xf numFmtId="0" fontId="4" fillId="0" borderId="0" xfId="0" applyFont="1" applyAlignment="1">
      <alignment vertical="center" wrapText="1"/>
    </xf>
    <xf numFmtId="0" fontId="2" fillId="0" borderId="0" xfId="0" applyFont="1" applyAlignment="1">
      <alignment vertical="top" wrapText="1"/>
    </xf>
    <xf numFmtId="0" fontId="7" fillId="0" borderId="0" xfId="0" applyFont="1" applyAlignment="1">
      <alignment vertical="top" wrapText="1"/>
    </xf>
    <xf numFmtId="0" fontId="2" fillId="0" borderId="0" xfId="3" applyFont="1" applyFill="1" applyAlignment="1"/>
    <xf numFmtId="0" fontId="2" fillId="0" borderId="0" xfId="3" applyFont="1" applyAlignment="1"/>
    <xf numFmtId="0" fontId="4" fillId="3" borderId="0" xfId="0" applyFont="1" applyFill="1" applyAlignment="1">
      <alignment vertical="top" wrapText="1"/>
    </xf>
  </cellXfs>
  <cellStyles count="6">
    <cellStyle name="Hyperlink" xfId="3" builtinId="8"/>
    <cellStyle name="Hyperlink 2 2" xfId="4" xr:uid="{00000000-0005-0000-0000-000001000000}"/>
    <cellStyle name="Normal" xfId="0" builtinId="0"/>
    <cellStyle name="Normal 2 3" xfId="2" xr:uid="{00000000-0005-0000-0000-000003000000}"/>
    <cellStyle name="Normal 3" xfId="5" xr:uid="{00000000-0005-0000-0000-000004000000}"/>
    <cellStyle name="Normal 5"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ions\Amber\Historical%20Budget%20Data\January%202011\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inyurl.com/yc8pnkfu" TargetMode="External"/><Relationship Id="rId1" Type="http://schemas.openxmlformats.org/officeDocument/2006/relationships/hyperlink" Target="http://www.cbo.gov/publication/5895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8954"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895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tinyurl.com/yc8pnkfu" TargetMode="External"/><Relationship Id="rId2" Type="http://schemas.openxmlformats.org/officeDocument/2006/relationships/hyperlink" Target="http://www.cbo.gov/publication/58954" TargetMode="External"/><Relationship Id="rId1" Type="http://schemas.openxmlformats.org/officeDocument/2006/relationships/hyperlink" Target="https://www.cbo.gov/publication/42904"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9"/>
  <sheetViews>
    <sheetView tabSelected="1" zoomScaleNormal="100" workbookViewId="0">
      <selection sqref="A1:B1"/>
    </sheetView>
  </sheetViews>
  <sheetFormatPr defaultColWidth="9.08984375" defaultRowHeight="15" customHeight="1" x14ac:dyDescent="0.3"/>
  <cols>
    <col min="1" max="1" width="3.453125" style="3" customWidth="1"/>
    <col min="2" max="2" width="142.90625" style="3" customWidth="1"/>
    <col min="3" max="8" width="9.08984375" style="3"/>
    <col min="9" max="9" width="11.90625" style="3" customWidth="1"/>
    <col min="10" max="10" width="12" style="3" customWidth="1"/>
    <col min="11" max="11" width="18.54296875" style="3" customWidth="1"/>
    <col min="12" max="12" width="8.54296875" style="3" customWidth="1"/>
    <col min="13" max="13" width="9.54296875" style="3" customWidth="1"/>
    <col min="14" max="15" width="9.08984375" style="3"/>
    <col min="16" max="16" width="11.54296875" style="3" customWidth="1"/>
    <col min="17" max="16384" width="9.08984375" style="3"/>
  </cols>
  <sheetData>
    <row r="1" spans="1:13" ht="14.5" x14ac:dyDescent="0.3">
      <c r="A1" s="55" t="s">
        <v>3920</v>
      </c>
      <c r="B1" s="55"/>
      <c r="C1" s="2"/>
      <c r="D1" s="2"/>
      <c r="E1" s="2"/>
    </row>
    <row r="2" spans="1:13" ht="14" x14ac:dyDescent="0.3">
      <c r="A2" s="57" t="s">
        <v>3908</v>
      </c>
      <c r="B2" s="57"/>
      <c r="C2" s="2"/>
      <c r="D2" s="2"/>
      <c r="E2" s="2"/>
    </row>
    <row r="3" spans="1:13" ht="15" customHeight="1" x14ac:dyDescent="0.3">
      <c r="B3" s="19"/>
      <c r="C3" s="19"/>
      <c r="D3" s="19"/>
      <c r="E3" s="19"/>
    </row>
    <row r="4" spans="1:13" ht="15" customHeight="1" x14ac:dyDescent="0.3">
      <c r="A4" s="4"/>
      <c r="B4" s="4"/>
      <c r="C4" s="4"/>
      <c r="D4" s="4"/>
      <c r="E4" s="4"/>
    </row>
    <row r="5" spans="1:13" ht="45" customHeight="1" x14ac:dyDescent="0.3">
      <c r="A5" s="56" t="s">
        <v>3921</v>
      </c>
      <c r="B5" s="56"/>
      <c r="C5" s="5"/>
      <c r="D5" s="5"/>
      <c r="E5" s="5"/>
      <c r="F5" s="5"/>
      <c r="G5" s="5"/>
      <c r="H5" s="5"/>
      <c r="I5" s="5"/>
      <c r="J5" s="5"/>
      <c r="K5" s="5"/>
      <c r="L5" s="5"/>
      <c r="M5" s="5"/>
    </row>
    <row r="6" spans="1:13" ht="14" x14ac:dyDescent="0.3">
      <c r="A6" s="42"/>
      <c r="B6" s="42"/>
      <c r="C6" s="5"/>
      <c r="D6" s="5"/>
      <c r="E6" s="5"/>
      <c r="F6" s="5"/>
      <c r="G6" s="5"/>
      <c r="H6" s="5"/>
      <c r="I6" s="5"/>
      <c r="J6" s="5"/>
      <c r="K6" s="5"/>
      <c r="L6" s="5"/>
      <c r="M6" s="5"/>
    </row>
    <row r="7" spans="1:13" ht="14" x14ac:dyDescent="0.3">
      <c r="A7" s="56" t="s">
        <v>31</v>
      </c>
      <c r="B7" s="56"/>
      <c r="C7" s="5"/>
      <c r="D7" s="5"/>
      <c r="E7" s="5"/>
      <c r="F7" s="5"/>
      <c r="G7" s="5"/>
      <c r="H7" s="5"/>
      <c r="I7" s="5"/>
      <c r="J7" s="5"/>
      <c r="K7" s="5"/>
      <c r="L7" s="5"/>
      <c r="M7" s="5"/>
    </row>
    <row r="8" spans="1:13" ht="14" x14ac:dyDescent="0.3">
      <c r="A8" s="58" t="s">
        <v>3909</v>
      </c>
      <c r="B8" s="59"/>
      <c r="C8" s="5"/>
      <c r="D8" s="5"/>
      <c r="E8" s="5"/>
      <c r="F8" s="5"/>
      <c r="G8" s="5"/>
      <c r="H8" s="5"/>
      <c r="I8" s="5"/>
      <c r="J8" s="5"/>
      <c r="K8" s="5"/>
      <c r="L8" s="5"/>
      <c r="M8" s="5"/>
    </row>
    <row r="9" spans="1:13" ht="15" customHeight="1" x14ac:dyDescent="0.3">
      <c r="A9" s="12"/>
      <c r="B9" s="45"/>
      <c r="C9" s="5"/>
      <c r="D9" s="5"/>
      <c r="E9" s="5"/>
      <c r="F9" s="5"/>
      <c r="G9" s="5"/>
      <c r="H9" s="5"/>
      <c r="I9" s="5"/>
      <c r="J9" s="5"/>
      <c r="K9" s="5"/>
      <c r="L9" s="5"/>
      <c r="M9" s="5"/>
    </row>
    <row r="10" spans="1:13" ht="15" customHeight="1" x14ac:dyDescent="0.3">
      <c r="A10" s="7" t="s">
        <v>13</v>
      </c>
    </row>
    <row r="11" spans="1:13" ht="14" x14ac:dyDescent="0.3">
      <c r="A11" s="53" t="s">
        <v>30</v>
      </c>
      <c r="B11" s="53"/>
    </row>
    <row r="12" spans="1:13" ht="15" customHeight="1" x14ac:dyDescent="0.3">
      <c r="A12" s="54" t="s">
        <v>36</v>
      </c>
      <c r="B12" s="54"/>
    </row>
    <row r="13" spans="1:13" ht="15" customHeight="1" x14ac:dyDescent="0.3">
      <c r="A13" s="54" t="s">
        <v>29</v>
      </c>
      <c r="B13" s="54"/>
    </row>
    <row r="17" spans="1:2" ht="15" customHeight="1" x14ac:dyDescent="0.35">
      <c r="B17"/>
    </row>
    <row r="19" spans="1:2" ht="15" customHeight="1" x14ac:dyDescent="0.3">
      <c r="A19" s="1"/>
    </row>
  </sheetData>
  <mergeCells count="8">
    <mergeCell ref="A11:B11"/>
    <mergeCell ref="A12:B12"/>
    <mergeCell ref="A13:B13"/>
    <mergeCell ref="A1:B1"/>
    <mergeCell ref="A5:B5"/>
    <mergeCell ref="A2:B2"/>
    <mergeCell ref="A7:B7"/>
    <mergeCell ref="A8:B8"/>
  </mergeCells>
  <hyperlinks>
    <hyperlink ref="A2" r:id="rId1" xr:uid="{25CB33A6-E972-4E76-93FC-4A4EED82EC22}"/>
    <hyperlink ref="A11" location="'1. Instructions'!A1" display="'1. Instructions'!A1" xr:uid="{F110D943-C880-4587-BCC4-C5CE54EF3A4B}"/>
    <hyperlink ref="A12" location="'2. LCS Detail 2023'!A1" display="'2. LCS Detail 2023'!A1" xr:uid="{9C625429-CCD9-4D9C-AF86-C6FCFCDDBDD4}"/>
    <hyperlink ref="A13" location="'3. Definitions'!A1" display="'3. Definitions'!A1" xr:uid="{1455ED0B-3807-46CE-A8F0-194DF6627D54}"/>
    <hyperlink ref="A8" r:id="rId2" xr:uid="{36E993C9-33B4-4E53-A982-D481FA6C11A5}"/>
  </hyperlinks>
  <pageMargins left="0.7" right="0.7"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4"/>
  <sheetViews>
    <sheetView workbookViewId="0">
      <selection sqref="A1:Q1"/>
    </sheetView>
  </sheetViews>
  <sheetFormatPr defaultColWidth="9.08984375" defaultRowHeight="14" x14ac:dyDescent="0.3"/>
  <cols>
    <col min="1" max="16384" width="9.08984375" style="3"/>
  </cols>
  <sheetData>
    <row r="1" spans="1:17" ht="14.5" x14ac:dyDescent="0.3">
      <c r="A1" s="55" t="s">
        <v>3922</v>
      </c>
      <c r="B1" s="55"/>
      <c r="C1" s="55"/>
      <c r="D1" s="55"/>
      <c r="E1" s="55"/>
      <c r="F1" s="55"/>
      <c r="G1" s="55"/>
      <c r="H1" s="55"/>
      <c r="I1" s="55"/>
      <c r="J1" s="55"/>
      <c r="K1" s="55"/>
      <c r="L1" s="55"/>
      <c r="M1" s="55"/>
      <c r="N1" s="55"/>
      <c r="O1" s="55"/>
      <c r="P1" s="55"/>
      <c r="Q1" s="55"/>
    </row>
    <row r="2" spans="1:17" x14ac:dyDescent="0.3">
      <c r="A2" s="62" t="s">
        <v>3908</v>
      </c>
      <c r="B2" s="62"/>
      <c r="C2" s="62"/>
      <c r="D2" s="62"/>
      <c r="E2" s="20"/>
      <c r="F2" s="20"/>
      <c r="G2" s="20"/>
      <c r="H2" s="20"/>
      <c r="I2" s="20"/>
      <c r="J2" s="20"/>
      <c r="K2" s="20"/>
      <c r="L2" s="20"/>
      <c r="M2" s="20"/>
      <c r="N2" s="20"/>
      <c r="O2" s="20"/>
      <c r="P2" s="20"/>
      <c r="Q2" s="20"/>
    </row>
    <row r="3" spans="1:17" ht="14.5" thickBot="1" x14ac:dyDescent="0.35">
      <c r="A3" s="20"/>
      <c r="B3" s="20"/>
      <c r="C3" s="20"/>
      <c r="D3" s="20"/>
      <c r="E3" s="20"/>
      <c r="F3" s="20"/>
      <c r="G3" s="20"/>
      <c r="H3" s="20"/>
      <c r="I3" s="20"/>
      <c r="J3" s="20"/>
      <c r="K3" s="20"/>
      <c r="L3" s="20"/>
      <c r="M3" s="20"/>
      <c r="N3" s="20"/>
      <c r="O3" s="20"/>
      <c r="P3" s="20"/>
      <c r="Q3" s="20"/>
    </row>
    <row r="4" spans="1:17" ht="18" x14ac:dyDescent="0.3">
      <c r="A4" s="20"/>
      <c r="B4" s="21" t="s">
        <v>23</v>
      </c>
      <c r="C4" s="22"/>
      <c r="D4" s="22"/>
      <c r="E4" s="22"/>
      <c r="F4" s="22"/>
      <c r="G4" s="22"/>
      <c r="H4" s="22"/>
      <c r="I4" s="22"/>
      <c r="J4" s="22"/>
      <c r="K4" s="22"/>
      <c r="L4" s="22"/>
      <c r="M4" s="22"/>
      <c r="N4" s="22"/>
      <c r="O4" s="22"/>
      <c r="P4" s="22"/>
      <c r="Q4" s="23"/>
    </row>
    <row r="5" spans="1:17" ht="14.5" x14ac:dyDescent="0.3">
      <c r="A5" s="20"/>
      <c r="B5" s="24" t="s">
        <v>24</v>
      </c>
      <c r="C5" s="25"/>
      <c r="D5" s="25"/>
      <c r="E5" s="25"/>
      <c r="F5" s="25"/>
      <c r="G5" s="25"/>
      <c r="H5" s="25"/>
      <c r="I5" s="25"/>
      <c r="J5" s="25"/>
      <c r="K5" s="25"/>
      <c r="L5" s="25"/>
      <c r="M5" s="25"/>
      <c r="N5" s="25"/>
      <c r="O5" s="25"/>
      <c r="P5" s="25"/>
      <c r="Q5" s="26"/>
    </row>
    <row r="6" spans="1:17" ht="14.5" x14ac:dyDescent="0.3">
      <c r="A6" s="20"/>
      <c r="B6" s="24"/>
      <c r="C6" s="25"/>
      <c r="D6" s="25"/>
      <c r="E6" s="25"/>
      <c r="F6" s="25"/>
      <c r="G6" s="25"/>
      <c r="H6" s="25"/>
      <c r="I6" s="25"/>
      <c r="J6" s="25"/>
      <c r="K6" s="25"/>
      <c r="L6" s="25"/>
      <c r="M6" s="25"/>
      <c r="N6" s="25"/>
      <c r="O6" s="25"/>
      <c r="P6" s="25"/>
      <c r="Q6" s="26"/>
    </row>
    <row r="7" spans="1:17" x14ac:dyDescent="0.3">
      <c r="A7" s="20"/>
      <c r="B7" s="27" t="s">
        <v>3916</v>
      </c>
      <c r="C7" s="25"/>
      <c r="D7" s="25"/>
      <c r="E7" s="25"/>
      <c r="F7" s="25"/>
      <c r="G7" s="25"/>
      <c r="H7" s="25"/>
      <c r="I7" s="25"/>
      <c r="J7" s="25"/>
      <c r="K7" s="25"/>
      <c r="L7" s="25"/>
      <c r="M7" s="25"/>
      <c r="N7" s="25"/>
      <c r="O7" s="25"/>
      <c r="P7" s="25"/>
      <c r="Q7" s="26"/>
    </row>
    <row r="8" spans="1:17" ht="30.75" customHeight="1" x14ac:dyDescent="0.3">
      <c r="A8" s="20"/>
      <c r="B8" s="28"/>
      <c r="C8" s="60" t="s">
        <v>28</v>
      </c>
      <c r="D8" s="60"/>
      <c r="E8" s="60"/>
      <c r="F8" s="60"/>
      <c r="G8" s="60"/>
      <c r="H8" s="60"/>
      <c r="I8" s="60"/>
      <c r="J8" s="60"/>
      <c r="K8" s="60"/>
      <c r="L8" s="60"/>
      <c r="M8" s="60"/>
      <c r="N8" s="60"/>
      <c r="O8" s="60"/>
      <c r="P8" s="60"/>
      <c r="Q8" s="61"/>
    </row>
    <row r="9" spans="1:17" x14ac:dyDescent="0.3">
      <c r="A9" s="20"/>
      <c r="B9" s="28"/>
      <c r="C9" s="25"/>
      <c r="D9" s="25"/>
      <c r="E9" s="25"/>
      <c r="F9" s="25"/>
      <c r="G9" s="25"/>
      <c r="H9" s="25"/>
      <c r="I9" s="25"/>
      <c r="J9" s="25"/>
      <c r="K9" s="25"/>
      <c r="L9" s="25"/>
      <c r="M9" s="25"/>
      <c r="N9" s="25"/>
      <c r="O9" s="25"/>
      <c r="P9" s="25"/>
      <c r="Q9" s="26"/>
    </row>
    <row r="10" spans="1:17" ht="30.75" customHeight="1" x14ac:dyDescent="0.3">
      <c r="A10" s="20"/>
      <c r="B10" s="28"/>
      <c r="C10" s="60" t="s">
        <v>3915</v>
      </c>
      <c r="D10" s="60"/>
      <c r="E10" s="60"/>
      <c r="F10" s="60"/>
      <c r="G10" s="60"/>
      <c r="H10" s="60"/>
      <c r="I10" s="60"/>
      <c r="J10" s="60"/>
      <c r="K10" s="60"/>
      <c r="L10" s="60"/>
      <c r="M10" s="60"/>
      <c r="N10" s="60"/>
      <c r="O10" s="60"/>
      <c r="P10" s="60"/>
      <c r="Q10" s="61"/>
    </row>
    <row r="11" spans="1:17" x14ac:dyDescent="0.3">
      <c r="A11" s="20"/>
      <c r="B11" s="28"/>
      <c r="C11" s="25"/>
      <c r="D11" s="29" t="s">
        <v>3903</v>
      </c>
      <c r="E11" s="25"/>
      <c r="F11" s="25"/>
      <c r="G11" s="25"/>
      <c r="H11" s="25"/>
      <c r="I11" s="25"/>
      <c r="J11" s="25"/>
      <c r="K11" s="25"/>
      <c r="L11" s="25"/>
      <c r="M11" s="25"/>
      <c r="N11" s="25"/>
      <c r="O11" s="25"/>
      <c r="P11" s="25"/>
      <c r="Q11" s="26"/>
    </row>
    <row r="12" spans="1:17" x14ac:dyDescent="0.3">
      <c r="A12" s="20"/>
      <c r="B12" s="28"/>
      <c r="C12" s="25"/>
      <c r="D12" s="29" t="s">
        <v>3904</v>
      </c>
      <c r="E12" s="25"/>
      <c r="F12" s="25"/>
      <c r="G12" s="25"/>
      <c r="H12" s="25"/>
      <c r="I12" s="25"/>
      <c r="J12" s="25"/>
      <c r="K12" s="25"/>
      <c r="L12" s="25"/>
      <c r="M12" s="25"/>
      <c r="N12" s="25"/>
      <c r="O12" s="25"/>
      <c r="P12" s="25"/>
      <c r="Q12" s="26"/>
    </row>
    <row r="13" spans="1:17" x14ac:dyDescent="0.3">
      <c r="A13" s="20"/>
      <c r="B13" s="28"/>
      <c r="C13" s="25"/>
      <c r="D13" s="25"/>
      <c r="E13" s="25"/>
      <c r="F13" s="25"/>
      <c r="G13" s="25"/>
      <c r="H13" s="25"/>
      <c r="I13" s="25"/>
      <c r="J13" s="25"/>
      <c r="K13" s="25"/>
      <c r="L13" s="25"/>
      <c r="M13" s="25"/>
      <c r="N13" s="25"/>
      <c r="O13" s="25"/>
      <c r="P13" s="25"/>
      <c r="Q13" s="26"/>
    </row>
    <row r="14" spans="1:17" ht="30" customHeight="1" x14ac:dyDescent="0.3">
      <c r="A14" s="20"/>
      <c r="B14" s="28"/>
      <c r="C14" s="60" t="s">
        <v>3911</v>
      </c>
      <c r="D14" s="60"/>
      <c r="E14" s="60"/>
      <c r="F14" s="60"/>
      <c r="G14" s="60"/>
      <c r="H14" s="60"/>
      <c r="I14" s="60"/>
      <c r="J14" s="60"/>
      <c r="K14" s="60"/>
      <c r="L14" s="60"/>
      <c r="M14" s="60"/>
      <c r="N14" s="60"/>
      <c r="O14" s="60"/>
      <c r="P14" s="60"/>
      <c r="Q14" s="61"/>
    </row>
    <row r="15" spans="1:17" x14ac:dyDescent="0.3">
      <c r="A15" s="20"/>
      <c r="B15" s="28"/>
      <c r="C15" s="25"/>
      <c r="D15" s="25" t="s">
        <v>32</v>
      </c>
      <c r="E15" s="25"/>
      <c r="F15" s="25"/>
      <c r="G15" s="25"/>
      <c r="H15" s="25"/>
      <c r="I15" s="25"/>
      <c r="J15" s="25"/>
      <c r="K15" s="25"/>
      <c r="L15" s="25"/>
      <c r="M15" s="25"/>
      <c r="N15" s="25"/>
      <c r="O15" s="25"/>
      <c r="P15" s="25"/>
      <c r="Q15" s="26"/>
    </row>
    <row r="16" spans="1:17" x14ac:dyDescent="0.3">
      <c r="A16" s="20"/>
      <c r="B16" s="28"/>
      <c r="C16" s="25"/>
      <c r="D16" s="25"/>
      <c r="E16" s="25"/>
      <c r="F16" s="25"/>
      <c r="G16" s="25"/>
      <c r="H16" s="25"/>
      <c r="I16" s="25"/>
      <c r="J16" s="25"/>
      <c r="K16" s="25"/>
      <c r="L16" s="25"/>
      <c r="M16" s="25"/>
      <c r="N16" s="25"/>
      <c r="O16" s="25"/>
      <c r="P16" s="25"/>
      <c r="Q16" s="26"/>
    </row>
    <row r="17" spans="1:20" ht="29.25" customHeight="1" x14ac:dyDescent="0.3">
      <c r="A17" s="20"/>
      <c r="B17" s="28"/>
      <c r="C17" s="60" t="s">
        <v>3905</v>
      </c>
      <c r="D17" s="60"/>
      <c r="E17" s="60"/>
      <c r="F17" s="60"/>
      <c r="G17" s="60"/>
      <c r="H17" s="60"/>
      <c r="I17" s="60"/>
      <c r="J17" s="60"/>
      <c r="K17" s="60"/>
      <c r="L17" s="60"/>
      <c r="M17" s="60"/>
      <c r="N17" s="60"/>
      <c r="O17" s="60"/>
      <c r="P17" s="60"/>
      <c r="Q17" s="61"/>
    </row>
    <row r="18" spans="1:20" x14ac:dyDescent="0.3">
      <c r="A18" s="20"/>
      <c r="B18" s="28"/>
      <c r="C18" s="25"/>
      <c r="D18" s="25"/>
      <c r="E18" s="25"/>
      <c r="F18" s="25"/>
      <c r="G18" s="25"/>
      <c r="H18" s="25"/>
      <c r="I18" s="25"/>
      <c r="J18" s="25"/>
      <c r="K18" s="25"/>
      <c r="L18" s="25"/>
      <c r="M18" s="25"/>
      <c r="N18" s="25"/>
      <c r="O18" s="25"/>
      <c r="P18" s="25"/>
      <c r="Q18" s="26"/>
    </row>
    <row r="19" spans="1:20" x14ac:dyDescent="0.3">
      <c r="A19" s="20"/>
      <c r="B19" s="27" t="s">
        <v>3917</v>
      </c>
      <c r="C19" s="25"/>
      <c r="D19" s="25"/>
      <c r="E19" s="25"/>
      <c r="F19" s="25"/>
      <c r="G19" s="25"/>
      <c r="H19" s="25"/>
      <c r="I19" s="25"/>
      <c r="J19" s="25"/>
      <c r="K19" s="25"/>
      <c r="L19" s="25"/>
      <c r="M19" s="25"/>
      <c r="N19" s="25"/>
      <c r="O19" s="25"/>
      <c r="P19" s="25"/>
      <c r="Q19" s="26"/>
    </row>
    <row r="20" spans="1:20" ht="30" customHeight="1" x14ac:dyDescent="0.3">
      <c r="A20" s="20"/>
      <c r="B20" s="28"/>
      <c r="C20" s="60" t="s">
        <v>25</v>
      </c>
      <c r="D20" s="60"/>
      <c r="E20" s="60"/>
      <c r="F20" s="60"/>
      <c r="G20" s="60"/>
      <c r="H20" s="60"/>
      <c r="I20" s="60"/>
      <c r="J20" s="60"/>
      <c r="K20" s="60"/>
      <c r="L20" s="60"/>
      <c r="M20" s="60"/>
      <c r="N20" s="60"/>
      <c r="O20" s="60"/>
      <c r="P20" s="60"/>
      <c r="Q20" s="61"/>
      <c r="T20" s="3" t="s">
        <v>3918</v>
      </c>
    </row>
    <row r="21" spans="1:20" x14ac:dyDescent="0.3">
      <c r="A21" s="20"/>
      <c r="B21" s="28"/>
      <c r="C21" s="25"/>
      <c r="D21" s="25" t="s">
        <v>33</v>
      </c>
      <c r="E21" s="25"/>
      <c r="F21" s="25"/>
      <c r="G21" s="25"/>
      <c r="H21" s="25"/>
      <c r="I21" s="25"/>
      <c r="J21" s="25"/>
      <c r="K21" s="25"/>
      <c r="L21" s="25"/>
      <c r="M21" s="25"/>
      <c r="N21" s="25"/>
      <c r="O21" s="25"/>
      <c r="P21" s="25"/>
      <c r="Q21" s="26"/>
    </row>
    <row r="22" spans="1:20" x14ac:dyDescent="0.3">
      <c r="A22" s="20"/>
      <c r="B22" s="28"/>
      <c r="C22" s="25"/>
      <c r="D22" s="25"/>
      <c r="E22" s="25"/>
      <c r="F22" s="25"/>
      <c r="G22" s="25"/>
      <c r="H22" s="25"/>
      <c r="I22" s="25"/>
      <c r="J22" s="25"/>
      <c r="K22" s="25"/>
      <c r="L22" s="25"/>
      <c r="M22" s="25"/>
      <c r="N22" s="25"/>
      <c r="O22" s="25"/>
      <c r="P22" s="25"/>
      <c r="Q22" s="26"/>
    </row>
    <row r="23" spans="1:20" ht="30" customHeight="1" x14ac:dyDescent="0.3">
      <c r="A23" s="20"/>
      <c r="B23" s="28"/>
      <c r="C23" s="60" t="s">
        <v>3906</v>
      </c>
      <c r="D23" s="60"/>
      <c r="E23" s="60"/>
      <c r="F23" s="60"/>
      <c r="G23" s="60"/>
      <c r="H23" s="60"/>
      <c r="I23" s="60"/>
      <c r="J23" s="60"/>
      <c r="K23" s="60"/>
      <c r="L23" s="60"/>
      <c r="M23" s="60"/>
      <c r="N23" s="60"/>
      <c r="O23" s="60"/>
      <c r="P23" s="60"/>
      <c r="Q23" s="61"/>
    </row>
    <row r="24" spans="1:20" ht="14.5" thickBot="1" x14ac:dyDescent="0.35">
      <c r="B24" s="30"/>
      <c r="C24" s="31"/>
      <c r="D24" s="31"/>
      <c r="E24" s="31"/>
      <c r="F24" s="31"/>
      <c r="G24" s="31"/>
      <c r="H24" s="31"/>
      <c r="I24" s="31"/>
      <c r="J24" s="31"/>
      <c r="K24" s="31"/>
      <c r="L24" s="31"/>
      <c r="M24" s="31"/>
      <c r="N24" s="31"/>
      <c r="O24" s="31"/>
      <c r="P24" s="31"/>
      <c r="Q24" s="32"/>
    </row>
  </sheetData>
  <mergeCells count="8">
    <mergeCell ref="C23:Q23"/>
    <mergeCell ref="A1:Q1"/>
    <mergeCell ref="C8:Q8"/>
    <mergeCell ref="C10:Q10"/>
    <mergeCell ref="C14:Q14"/>
    <mergeCell ref="C17:Q17"/>
    <mergeCell ref="C20:Q20"/>
    <mergeCell ref="A2:D2"/>
  </mergeCells>
  <hyperlinks>
    <hyperlink ref="A2" r:id="rId1" xr:uid="{6F260F3F-A1D0-40CF-BC53-A82EF9651F9B}"/>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N2131"/>
  <sheetViews>
    <sheetView workbookViewId="0">
      <pane ySplit="6" topLeftCell="A7" activePane="bottomLeft" state="frozenSplit"/>
      <selection pane="bottomLeft"/>
    </sheetView>
  </sheetViews>
  <sheetFormatPr defaultColWidth="9.08984375" defaultRowHeight="14" x14ac:dyDescent="0.3"/>
  <cols>
    <col min="1" max="1" width="17.453125" style="36" customWidth="1"/>
    <col min="2" max="2" width="11.453125" style="13" customWidth="1"/>
    <col min="3" max="3" width="16.08984375" style="3" customWidth="1"/>
    <col min="4" max="4" width="40.54296875" style="3" customWidth="1"/>
    <col min="5" max="5" width="26" style="3" customWidth="1"/>
    <col min="6" max="6" width="40.54296875" style="3" customWidth="1"/>
    <col min="7" max="7" width="24.453125" style="3" customWidth="1"/>
    <col min="8" max="8" width="23" style="13" bestFit="1" customWidth="1"/>
    <col min="9" max="9" width="25.08984375" style="13" bestFit="1" customWidth="1"/>
    <col min="10" max="10" width="27.54296875" style="16" customWidth="1"/>
    <col min="11" max="11" width="37.90625" style="16" bestFit="1" customWidth="1"/>
    <col min="12" max="12" width="37" style="3" customWidth="1"/>
    <col min="13" max="13" width="38" style="3" customWidth="1"/>
    <col min="14" max="14" width="37.08984375" style="3" customWidth="1"/>
    <col min="15" max="16384" width="9.08984375" style="3"/>
  </cols>
  <sheetData>
    <row r="1" spans="1:14" ht="15" customHeight="1" x14ac:dyDescent="0.3">
      <c r="A1" s="1" t="s">
        <v>3923</v>
      </c>
      <c r="B1" s="2"/>
      <c r="C1" s="2"/>
      <c r="D1" s="2"/>
      <c r="E1" s="2"/>
      <c r="F1" s="2"/>
      <c r="G1" s="2"/>
    </row>
    <row r="2" spans="1:14" ht="15" customHeight="1" x14ac:dyDescent="0.3">
      <c r="A2" s="62" t="s">
        <v>3908</v>
      </c>
      <c r="B2" s="62"/>
      <c r="C2" s="62"/>
      <c r="D2" s="62"/>
      <c r="E2" s="62"/>
      <c r="F2" s="19"/>
      <c r="G2" s="19"/>
    </row>
    <row r="3" spans="1:14" ht="15" customHeight="1" x14ac:dyDescent="0.3">
      <c r="A3" s="3"/>
      <c r="B3" s="3"/>
    </row>
    <row r="4" spans="1:14" ht="15" customHeight="1" x14ac:dyDescent="0.3">
      <c r="A4" s="6" t="s">
        <v>36</v>
      </c>
      <c r="B4" s="6"/>
      <c r="C4" s="6"/>
      <c r="D4" s="6"/>
      <c r="E4" s="6"/>
      <c r="F4" s="6"/>
      <c r="G4" s="6"/>
      <c r="H4" s="14"/>
      <c r="I4" s="14"/>
      <c r="J4" s="17"/>
      <c r="K4" s="17"/>
      <c r="L4" s="6"/>
      <c r="M4" s="6"/>
      <c r="N4" s="6"/>
    </row>
    <row r="5" spans="1:14" ht="15" customHeight="1" x14ac:dyDescent="0.3">
      <c r="A5" s="7"/>
      <c r="B5" s="7"/>
      <c r="C5" s="7"/>
      <c r="D5" s="7"/>
      <c r="E5" s="7"/>
      <c r="F5" s="7"/>
      <c r="G5" s="7"/>
      <c r="H5" s="15"/>
      <c r="I5" s="15"/>
      <c r="J5" s="18"/>
      <c r="K5" s="18"/>
      <c r="L5" s="7"/>
      <c r="M5" s="7"/>
      <c r="N5" s="7"/>
    </row>
    <row r="6" spans="1:14" s="7" customFormat="1" x14ac:dyDescent="0.3">
      <c r="A6" s="33" t="s">
        <v>11</v>
      </c>
      <c r="B6" s="34" t="s">
        <v>0</v>
      </c>
      <c r="C6" s="35" t="s">
        <v>1</v>
      </c>
      <c r="D6" s="35" t="s">
        <v>2</v>
      </c>
      <c r="E6" s="35" t="s">
        <v>26</v>
      </c>
      <c r="F6" s="35" t="s">
        <v>4</v>
      </c>
      <c r="G6" s="35" t="s">
        <v>27</v>
      </c>
      <c r="H6" s="34" t="s">
        <v>3</v>
      </c>
      <c r="I6" s="34" t="s">
        <v>5</v>
      </c>
      <c r="J6" s="34" t="s">
        <v>6</v>
      </c>
      <c r="K6" s="34" t="s">
        <v>7</v>
      </c>
      <c r="L6" s="35" t="s">
        <v>8</v>
      </c>
      <c r="M6" s="35" t="s">
        <v>9</v>
      </c>
      <c r="N6" s="35" t="s">
        <v>10</v>
      </c>
    </row>
    <row r="7" spans="1:14" x14ac:dyDescent="0.3">
      <c r="A7" s="36" t="s">
        <v>37</v>
      </c>
      <c r="B7" s="13">
        <v>95</v>
      </c>
      <c r="C7" s="48" t="str">
        <f>HYPERLINK("https://uscode.house.gov/statutes/pl/95/222.pdf", "P.L. 95-222")</f>
        <v>P.L. 95-222</v>
      </c>
      <c r="D7" s="3" t="s">
        <v>38</v>
      </c>
      <c r="E7" s="3" t="s">
        <v>39</v>
      </c>
      <c r="F7" s="3" t="s">
        <v>40</v>
      </c>
      <c r="G7" s="48" t="str">
        <f>HYPERLINK("https://uscode.house.gov/view.xhtml?req=granuleid:USC-prelim-title42-section2996i&amp;num=0&amp;edition=prelim", "42 U.S.C. 2996i(a)")</f>
        <v>42 U.S.C. 2996i(a)</v>
      </c>
      <c r="H7" s="46">
        <v>29494</v>
      </c>
      <c r="I7" s="13">
        <v>1980</v>
      </c>
      <c r="J7" s="16" t="s">
        <v>12</v>
      </c>
      <c r="K7" s="47">
        <v>580000000</v>
      </c>
      <c r="L7" s="3" t="s">
        <v>41</v>
      </c>
      <c r="M7" s="3" t="s">
        <v>42</v>
      </c>
      <c r="N7" s="3" t="s">
        <v>43</v>
      </c>
    </row>
    <row r="8" spans="1:14" x14ac:dyDescent="0.3">
      <c r="A8" s="36" t="s">
        <v>37</v>
      </c>
      <c r="B8" s="13">
        <v>95</v>
      </c>
      <c r="C8" s="48" t="str">
        <f>HYPERLINK("https://uscode.house.gov/statutes/pl/95/514.pdf", "P.L. 95-514")</f>
        <v>P.L. 95-514</v>
      </c>
      <c r="D8" s="3" t="s">
        <v>44</v>
      </c>
      <c r="E8" s="3" t="s">
        <v>45</v>
      </c>
      <c r="F8" s="3" t="s">
        <v>46</v>
      </c>
      <c r="G8" s="48" t="str">
        <f>HYPERLINK("https://uscode.house.gov/view.xhtml?req=granuleid:USC-prelim-title43-section1904&amp;num=0&amp;edition=prelim", "43 U.S.C. 1904")</f>
        <v>43 U.S.C. 1904</v>
      </c>
      <c r="H8" s="46">
        <v>36433</v>
      </c>
      <c r="I8" s="13">
        <v>1999</v>
      </c>
      <c r="J8" s="16" t="s">
        <v>12</v>
      </c>
      <c r="K8" s="47">
        <v>10000000</v>
      </c>
      <c r="L8" s="3" t="s">
        <v>47</v>
      </c>
      <c r="M8" s="3" t="s">
        <v>48</v>
      </c>
      <c r="N8" s="3" t="s">
        <v>49</v>
      </c>
    </row>
    <row r="9" spans="1:14" x14ac:dyDescent="0.3">
      <c r="A9" s="36" t="s">
        <v>37</v>
      </c>
      <c r="B9" s="13">
        <v>96</v>
      </c>
      <c r="C9" s="48" t="str">
        <f>HYPERLINK("https://uscode.house.gov/statutes/pl/96/253.pdf", "P.L. 96-253")</f>
        <v>P.L. 96-253</v>
      </c>
      <c r="D9" s="3" t="s">
        <v>50</v>
      </c>
      <c r="E9" s="3" t="s">
        <v>51</v>
      </c>
      <c r="F9" s="3" t="s">
        <v>52</v>
      </c>
      <c r="G9" s="48" t="str">
        <f>HYPERLINK("https://uscode.house.gov/view.xhtml?req=granuleid:USC-prelim-title52-section30115&amp;num=0&amp;edition=prelim", "52 U.S.C. 30115")</f>
        <v>52 U.S.C. 30115</v>
      </c>
      <c r="H9" s="46">
        <v>29859</v>
      </c>
      <c r="I9" s="13">
        <v>1981</v>
      </c>
      <c r="J9" s="47">
        <v>9400000</v>
      </c>
      <c r="K9" s="47">
        <v>81674000</v>
      </c>
      <c r="L9" s="3" t="s">
        <v>53</v>
      </c>
      <c r="M9" s="3" t="s">
        <v>54</v>
      </c>
      <c r="N9" s="3" t="s">
        <v>55</v>
      </c>
    </row>
    <row r="10" spans="1:14" x14ac:dyDescent="0.3">
      <c r="A10" s="36" t="s">
        <v>37</v>
      </c>
      <c r="B10" s="13">
        <v>97</v>
      </c>
      <c r="C10" s="48" t="str">
        <f>HYPERLINK("https://uscode.house.gov/statutes/pl/97/35.pdf", "P.L. 97-35")</f>
        <v>P.L. 97-35</v>
      </c>
      <c r="D10" s="3" t="s">
        <v>56</v>
      </c>
      <c r="F10" s="3" t="s">
        <v>57</v>
      </c>
      <c r="G10" s="49"/>
      <c r="H10" s="46">
        <v>30955</v>
      </c>
      <c r="I10" s="13">
        <v>1984</v>
      </c>
      <c r="J10" s="47">
        <v>327568000</v>
      </c>
      <c r="K10" s="47">
        <v>367564000</v>
      </c>
      <c r="L10" s="3" t="s">
        <v>47</v>
      </c>
      <c r="M10" s="3" t="s">
        <v>48</v>
      </c>
      <c r="N10" s="3" t="s">
        <v>58</v>
      </c>
    </row>
    <row r="11" spans="1:14" x14ac:dyDescent="0.3">
      <c r="A11" s="36" t="s">
        <v>37</v>
      </c>
      <c r="B11" s="13">
        <v>97</v>
      </c>
      <c r="C11" s="48" t="str">
        <f>HYPERLINK("https://uscode.house.gov/statutes/pl/97/35.pdf", "P.L. 97-35")</f>
        <v>P.L. 97-35</v>
      </c>
      <c r="D11" s="3" t="s">
        <v>56</v>
      </c>
      <c r="F11" s="3" t="s">
        <v>59</v>
      </c>
      <c r="G11" s="49"/>
      <c r="H11" s="46">
        <v>30955</v>
      </c>
      <c r="I11" s="13">
        <v>1984</v>
      </c>
      <c r="J11" s="16" t="s">
        <v>12</v>
      </c>
      <c r="K11" s="47">
        <v>508400000</v>
      </c>
      <c r="L11" s="3" t="s">
        <v>60</v>
      </c>
      <c r="M11" s="3" t="s">
        <v>48</v>
      </c>
      <c r="N11" s="3" t="s">
        <v>58</v>
      </c>
    </row>
    <row r="12" spans="1:14" x14ac:dyDescent="0.3">
      <c r="A12" s="36" t="s">
        <v>37</v>
      </c>
      <c r="B12" s="13">
        <v>97</v>
      </c>
      <c r="C12" s="48" t="str">
        <f>HYPERLINK("https://uscode.house.gov/statutes/pl/97/35.pdf", "P.L. 97-35")</f>
        <v>P.L. 97-35</v>
      </c>
      <c r="D12" s="3" t="s">
        <v>56</v>
      </c>
      <c r="F12" s="3" t="s">
        <v>61</v>
      </c>
      <c r="G12" s="49"/>
      <c r="H12" s="46">
        <v>30955</v>
      </c>
      <c r="I12" s="13">
        <v>1984</v>
      </c>
      <c r="J12" s="16" t="s">
        <v>12</v>
      </c>
      <c r="K12" s="16" t="s">
        <v>62</v>
      </c>
      <c r="L12" s="3" t="s">
        <v>60</v>
      </c>
      <c r="M12" s="3" t="s">
        <v>48</v>
      </c>
      <c r="N12" s="3" t="s">
        <v>58</v>
      </c>
    </row>
    <row r="13" spans="1:14" x14ac:dyDescent="0.3">
      <c r="A13" s="36" t="s">
        <v>37</v>
      </c>
      <c r="B13" s="13">
        <v>97</v>
      </c>
      <c r="C13" s="48" t="str">
        <f>HYPERLINK("https://uscode.house.gov/statutes/pl/97/35.pdf", "P.L. 97-35")</f>
        <v>P.L. 97-35</v>
      </c>
      <c r="D13" s="3" t="s">
        <v>56</v>
      </c>
      <c r="F13" s="3" t="s">
        <v>63</v>
      </c>
      <c r="G13" s="49"/>
      <c r="H13" s="46">
        <v>30955</v>
      </c>
      <c r="I13" s="13">
        <v>1984</v>
      </c>
      <c r="J13" s="47">
        <v>246963000</v>
      </c>
      <c r="K13" s="47">
        <v>383578000</v>
      </c>
      <c r="L13" s="3" t="s">
        <v>60</v>
      </c>
      <c r="M13" s="3" t="s">
        <v>48</v>
      </c>
      <c r="N13" s="3" t="s">
        <v>58</v>
      </c>
    </row>
    <row r="14" spans="1:14" x14ac:dyDescent="0.3">
      <c r="A14" s="36" t="s">
        <v>37</v>
      </c>
      <c r="B14" s="13">
        <v>97</v>
      </c>
      <c r="C14" s="48" t="str">
        <f>HYPERLINK("https://uscode.house.gov/statutes/pl/97/35.pdf", "P.L. 97-35")</f>
        <v>P.L. 97-35</v>
      </c>
      <c r="D14" s="3" t="s">
        <v>56</v>
      </c>
      <c r="F14" s="3" t="s">
        <v>64</v>
      </c>
      <c r="G14" s="49"/>
      <c r="H14" s="46">
        <v>30955</v>
      </c>
      <c r="I14" s="13">
        <v>1984</v>
      </c>
      <c r="J14" s="16" t="s">
        <v>12</v>
      </c>
      <c r="K14" s="47">
        <v>135000000</v>
      </c>
      <c r="L14" s="3" t="s">
        <v>60</v>
      </c>
      <c r="M14" s="3" t="s">
        <v>48</v>
      </c>
      <c r="N14" s="3" t="s">
        <v>58</v>
      </c>
    </row>
    <row r="15" spans="1:14" x14ac:dyDescent="0.3">
      <c r="A15" s="36" t="s">
        <v>37</v>
      </c>
      <c r="B15" s="13">
        <v>97</v>
      </c>
      <c r="C15" s="48" t="str">
        <f>HYPERLINK("https://uscode.house.gov/statutes/pl/97/129.pdf", "P.L. 97-129")</f>
        <v>P.L. 97-129</v>
      </c>
      <c r="D15" s="3" t="s">
        <v>65</v>
      </c>
      <c r="E15" s="3" t="s">
        <v>51</v>
      </c>
      <c r="F15" s="3" t="s">
        <v>66</v>
      </c>
      <c r="G15" s="48" t="str">
        <f>HYPERLINK("https://uscode.house.gov/view.xhtml?req=granuleid:USC-prelim-title15-section2628&amp;num=0&amp;edition=prelim", "15 U.S.C. 2628")</f>
        <v>15 U.S.C. 2628</v>
      </c>
      <c r="H15" s="46">
        <v>30589</v>
      </c>
      <c r="I15" s="13">
        <v>1983</v>
      </c>
      <c r="J15" s="47">
        <v>62000000</v>
      </c>
      <c r="K15" s="47">
        <v>117782000</v>
      </c>
      <c r="L15" s="3" t="s">
        <v>60</v>
      </c>
      <c r="M15" s="3" t="s">
        <v>67</v>
      </c>
      <c r="N15" s="3" t="s">
        <v>49</v>
      </c>
    </row>
    <row r="16" spans="1:14" x14ac:dyDescent="0.3">
      <c r="A16" s="36" t="s">
        <v>37</v>
      </c>
      <c r="B16" s="13">
        <v>98</v>
      </c>
      <c r="C16" s="48" t="str">
        <f>HYPERLINK("https://uscode.house.gov/statutes/pl/98/512.pdf", "P.L. 98-512")</f>
        <v>P.L. 98-512</v>
      </c>
      <c r="D16" s="3" t="s">
        <v>68</v>
      </c>
      <c r="E16" s="3" t="s">
        <v>69</v>
      </c>
      <c r="F16" s="3" t="s">
        <v>70</v>
      </c>
      <c r="G16" s="48" t="str">
        <f>HYPERLINK("https://uscode.house.gov/view.xhtml?req=granuleid:USC-prelim-title42-section300&amp;num=0&amp;edition=prelim", "42 U.S.C. 300(d)")</f>
        <v>42 U.S.C. 300(d)</v>
      </c>
      <c r="H16" s="46">
        <v>31320</v>
      </c>
      <c r="I16" s="13">
        <v>1985</v>
      </c>
      <c r="J16" s="47">
        <v>162600000</v>
      </c>
      <c r="K16" s="47">
        <v>286479000</v>
      </c>
      <c r="L16" s="3" t="s">
        <v>60</v>
      </c>
      <c r="M16" s="3" t="s">
        <v>71</v>
      </c>
      <c r="N16" s="3" t="s">
        <v>72</v>
      </c>
    </row>
    <row r="17" spans="1:14" x14ac:dyDescent="0.3">
      <c r="A17" s="36" t="s">
        <v>37</v>
      </c>
      <c r="B17" s="13">
        <v>98</v>
      </c>
      <c r="C17" s="48" t="str">
        <f>HYPERLINK("https://uscode.house.gov/statutes/pl/98/581.pdf", "P.L. 98-581")</f>
        <v>P.L. 98-581</v>
      </c>
      <c r="D17" s="3" t="s">
        <v>73</v>
      </c>
      <c r="F17" s="3" t="s">
        <v>74</v>
      </c>
      <c r="G17" s="48" t="str">
        <f>HYPERLINK("https://uscode.house.gov/view.xhtml?req=granuleid:USC-prelim-title42-section4374&amp;num=0&amp;edition=prelim", "42 U.S.C. 4374")</f>
        <v>42 U.S.C. 4374</v>
      </c>
      <c r="H17" s="46">
        <v>31685</v>
      </c>
      <c r="I17" s="13">
        <v>1986</v>
      </c>
      <c r="J17" s="47">
        <v>480000</v>
      </c>
      <c r="K17" s="47">
        <v>4676000</v>
      </c>
      <c r="L17" s="3" t="s">
        <v>47</v>
      </c>
      <c r="M17" s="3" t="s">
        <v>67</v>
      </c>
      <c r="N17" s="3" t="s">
        <v>49</v>
      </c>
    </row>
    <row r="18" spans="1:14" x14ac:dyDescent="0.3">
      <c r="A18" s="36" t="s">
        <v>37</v>
      </c>
      <c r="B18" s="13">
        <v>98</v>
      </c>
      <c r="C18" s="48" t="str">
        <f>HYPERLINK("https://uscode.house.gov/statutes/pl/98/616.pdf", "P.L. 98-616")</f>
        <v>P.L. 98-616</v>
      </c>
      <c r="D18" s="3" t="s">
        <v>75</v>
      </c>
      <c r="F18" s="3" t="s">
        <v>76</v>
      </c>
      <c r="G18" s="48" t="str">
        <f>HYPERLINK("https://uscode.house.gov/view.xhtml?req=granuleid:USC-prelim-title42-section6916&amp;num=0&amp;edition=prelim", "42 U.S.C. 6916")</f>
        <v>42 U.S.C. 6916</v>
      </c>
      <c r="H18" s="46">
        <v>32416</v>
      </c>
      <c r="I18" s="13">
        <v>1988</v>
      </c>
      <c r="J18" s="47">
        <v>237529000</v>
      </c>
      <c r="K18" s="16" t="s">
        <v>62</v>
      </c>
      <c r="L18" s="3" t="s">
        <v>60</v>
      </c>
      <c r="M18" s="3" t="s">
        <v>67</v>
      </c>
      <c r="N18" s="3" t="s">
        <v>49</v>
      </c>
    </row>
    <row r="19" spans="1:14" x14ac:dyDescent="0.3">
      <c r="A19" s="36" t="s">
        <v>37</v>
      </c>
      <c r="B19" s="13">
        <v>99</v>
      </c>
      <c r="C19" s="48" t="str">
        <f t="shared" ref="C19:C26" si="0">HYPERLINK("https://uscode.house.gov/statutes/pl/99/83.pdf", "P.L. 99-83")</f>
        <v>P.L. 99-83</v>
      </c>
      <c r="D19" s="3" t="s">
        <v>77</v>
      </c>
      <c r="E19" s="3" t="s">
        <v>78</v>
      </c>
      <c r="F19" s="3" t="s">
        <v>79</v>
      </c>
      <c r="G19" s="48" t="str">
        <f>HYPERLINK("https://uscode.house.gov/view.xhtml?req=granuleid:USC-prelim-title22-section2346a&amp;num=0&amp;edition=prelim", "22 U.S.C. 2346a")</f>
        <v>22 U.S.C. 2346a</v>
      </c>
      <c r="H19" s="46">
        <v>32050</v>
      </c>
      <c r="I19" s="13">
        <v>1987</v>
      </c>
      <c r="J19" s="47">
        <v>3800000000</v>
      </c>
      <c r="K19" s="47">
        <v>21767801000</v>
      </c>
      <c r="L19" s="3" t="s">
        <v>80</v>
      </c>
      <c r="M19" s="3" t="s">
        <v>81</v>
      </c>
      <c r="N19" s="3" t="s">
        <v>82</v>
      </c>
    </row>
    <row r="20" spans="1:14" x14ac:dyDescent="0.3">
      <c r="A20" s="36" t="s">
        <v>37</v>
      </c>
      <c r="B20" s="13">
        <v>99</v>
      </c>
      <c r="C20" s="48" t="str">
        <f t="shared" si="0"/>
        <v>P.L. 99-83</v>
      </c>
      <c r="D20" s="3" t="s">
        <v>77</v>
      </c>
      <c r="E20" s="3" t="s">
        <v>83</v>
      </c>
      <c r="F20" s="3" t="s">
        <v>84</v>
      </c>
      <c r="G20" s="48" t="str">
        <f>HYPERLINK("https://uscode.house.gov/view.xhtml?req=granuleid:USC-prelim-title22-section2151b&amp;num=0&amp;edition=prelim", "22 U.S.C. 2151b(g)")</f>
        <v>22 U.S.C. 2151b(g)</v>
      </c>
      <c r="H20" s="46">
        <v>32050</v>
      </c>
      <c r="I20" s="13">
        <v>1987</v>
      </c>
      <c r="J20" s="47">
        <v>290000000</v>
      </c>
      <c r="K20" s="16" t="s">
        <v>62</v>
      </c>
      <c r="L20" s="3" t="s">
        <v>80</v>
      </c>
      <c r="M20" s="3" t="s">
        <v>81</v>
      </c>
      <c r="N20" s="3" t="s">
        <v>82</v>
      </c>
    </row>
    <row r="21" spans="1:14" x14ac:dyDescent="0.3">
      <c r="A21" s="36" t="s">
        <v>37</v>
      </c>
      <c r="B21" s="13">
        <v>99</v>
      </c>
      <c r="C21" s="48" t="str">
        <f t="shared" si="0"/>
        <v>P.L. 99-83</v>
      </c>
      <c r="D21" s="3" t="s">
        <v>77</v>
      </c>
      <c r="E21" s="3" t="s">
        <v>85</v>
      </c>
      <c r="F21" s="3" t="s">
        <v>86</v>
      </c>
      <c r="G21" s="48" t="str">
        <f>HYPERLINK("https://uscode.house.gov/view.xhtml?req=granuleid:USC-prelim-title22-section290h-8&amp;num=0&amp;edition=prelim", "22 U.S.C. 290h-8")</f>
        <v>22 U.S.C. 290h-8</v>
      </c>
      <c r="H21" s="46">
        <v>32050</v>
      </c>
      <c r="I21" s="13">
        <v>1987</v>
      </c>
      <c r="J21" s="47">
        <v>3872000</v>
      </c>
      <c r="K21" s="47">
        <v>45000000</v>
      </c>
      <c r="L21" s="3" t="s">
        <v>80</v>
      </c>
      <c r="M21" s="3" t="s">
        <v>81</v>
      </c>
      <c r="N21" s="3" t="s">
        <v>82</v>
      </c>
    </row>
    <row r="22" spans="1:14" x14ac:dyDescent="0.3">
      <c r="A22" s="36" t="s">
        <v>37</v>
      </c>
      <c r="B22" s="13">
        <v>99</v>
      </c>
      <c r="C22" s="48" t="str">
        <f t="shared" si="0"/>
        <v>P.L. 99-83</v>
      </c>
      <c r="D22" s="3" t="s">
        <v>77</v>
      </c>
      <c r="E22" s="3" t="s">
        <v>87</v>
      </c>
      <c r="F22" s="3" t="s">
        <v>88</v>
      </c>
      <c r="G22" s="48" t="str">
        <f>HYPERLINK("https://uscode.house.gov/view.xhtml?req=granuleid:USC-prelim-title22-section2151c&amp;num=0&amp;edition=prelim", "22 U.S.C. 2151c(a)")</f>
        <v>22 U.S.C. 2151c(a)</v>
      </c>
      <c r="H22" s="46">
        <v>32050</v>
      </c>
      <c r="I22" s="13">
        <v>1987</v>
      </c>
      <c r="J22" s="47">
        <v>180000000</v>
      </c>
      <c r="K22" s="16" t="s">
        <v>62</v>
      </c>
      <c r="L22" s="3" t="s">
        <v>80</v>
      </c>
      <c r="M22" s="3" t="s">
        <v>81</v>
      </c>
      <c r="N22" s="3" t="s">
        <v>82</v>
      </c>
    </row>
    <row r="23" spans="1:14" x14ac:dyDescent="0.3">
      <c r="A23" s="36" t="s">
        <v>37</v>
      </c>
      <c r="B23" s="13">
        <v>99</v>
      </c>
      <c r="C23" s="48" t="str">
        <f t="shared" si="0"/>
        <v>P.L. 99-83</v>
      </c>
      <c r="D23" s="3" t="s">
        <v>77</v>
      </c>
      <c r="E23" s="3" t="s">
        <v>89</v>
      </c>
      <c r="F23" s="3" t="s">
        <v>90</v>
      </c>
      <c r="G23" s="48" t="str">
        <f>HYPERLINK("https://uscode.house.gov/view.xhtml?req=granuleid:USC-prelim-title22-section2151d&amp;num=0&amp;edition=prelim", "22 U.S.C. 2151d(e)(1)")</f>
        <v>22 U.S.C. 2151d(e)(1)</v>
      </c>
      <c r="H23" s="46">
        <v>32050</v>
      </c>
      <c r="I23" s="13">
        <v>1987</v>
      </c>
      <c r="J23" s="47">
        <v>207000000</v>
      </c>
      <c r="K23" s="16" t="s">
        <v>62</v>
      </c>
      <c r="L23" s="3" t="s">
        <v>80</v>
      </c>
      <c r="M23" s="3" t="s">
        <v>81</v>
      </c>
      <c r="N23" s="3" t="s">
        <v>82</v>
      </c>
    </row>
    <row r="24" spans="1:14" x14ac:dyDescent="0.3">
      <c r="A24" s="36" t="s">
        <v>37</v>
      </c>
      <c r="B24" s="13">
        <v>99</v>
      </c>
      <c r="C24" s="48" t="str">
        <f t="shared" si="0"/>
        <v>P.L. 99-83</v>
      </c>
      <c r="D24" s="3" t="s">
        <v>77</v>
      </c>
      <c r="E24" s="3" t="s">
        <v>91</v>
      </c>
      <c r="F24" s="3" t="s">
        <v>92</v>
      </c>
      <c r="G24" s="48" t="str">
        <f>HYPERLINK("https://uscode.house.gov/view.xhtml?req=granuleid:USC-prelim-title22-section2174&amp;num=0&amp;edition=prelim", "22 U.S.C. 2174(c)")</f>
        <v>22 U.S.C. 2174(c)</v>
      </c>
      <c r="H24" s="46">
        <v>32050</v>
      </c>
      <c r="I24" s="13">
        <v>1987</v>
      </c>
      <c r="J24" s="47">
        <v>35000000</v>
      </c>
      <c r="K24" s="16" t="s">
        <v>62</v>
      </c>
      <c r="L24" s="3" t="s">
        <v>80</v>
      </c>
      <c r="M24" s="3" t="s">
        <v>81</v>
      </c>
      <c r="N24" s="3" t="s">
        <v>82</v>
      </c>
    </row>
    <row r="25" spans="1:14" x14ac:dyDescent="0.3">
      <c r="A25" s="36" t="s">
        <v>37</v>
      </c>
      <c r="B25" s="13">
        <v>99</v>
      </c>
      <c r="C25" s="48" t="str">
        <f t="shared" si="0"/>
        <v>P.L. 99-83</v>
      </c>
      <c r="D25" s="3" t="s">
        <v>77</v>
      </c>
      <c r="E25" s="3" t="s">
        <v>93</v>
      </c>
      <c r="F25" s="3" t="s">
        <v>94</v>
      </c>
      <c r="G25" s="48" t="str">
        <f>HYPERLINK("https://uscode.house.gov/view.xhtml?req=granuleid:USC-prelim-title22-section2427&amp;num=0&amp;edition=prelim", "22 U.S.C. 2427(a)")</f>
        <v>22 U.S.C. 2427(a)</v>
      </c>
      <c r="H25" s="46">
        <v>32050</v>
      </c>
      <c r="I25" s="13">
        <v>1987</v>
      </c>
      <c r="J25" s="47">
        <v>387000000</v>
      </c>
      <c r="K25" s="47">
        <v>1836850000</v>
      </c>
      <c r="L25" s="3" t="s">
        <v>80</v>
      </c>
      <c r="M25" s="3" t="s">
        <v>81</v>
      </c>
      <c r="N25" s="3" t="s">
        <v>82</v>
      </c>
    </row>
    <row r="26" spans="1:14" x14ac:dyDescent="0.3">
      <c r="A26" s="36" t="s">
        <v>37</v>
      </c>
      <c r="B26" s="13">
        <v>99</v>
      </c>
      <c r="C26" s="48" t="str">
        <f t="shared" si="0"/>
        <v>P.L. 99-83</v>
      </c>
      <c r="D26" s="3" t="s">
        <v>77</v>
      </c>
      <c r="E26" s="3" t="s">
        <v>95</v>
      </c>
      <c r="F26" s="3" t="s">
        <v>96</v>
      </c>
      <c r="G26" s="48" t="str">
        <f>HYPERLINK("https://uscode.house.gov/view.xhtml?req=granuleid:USC-prelim-title22-section2151a&amp;num=0&amp;edition=prelim", "22 U.S.C. 2151a(a)(2)")</f>
        <v>22 U.S.C. 2151a(a)(2)</v>
      </c>
      <c r="H26" s="46">
        <v>32050</v>
      </c>
      <c r="I26" s="13">
        <v>1987</v>
      </c>
      <c r="J26" s="47">
        <v>760000000</v>
      </c>
      <c r="K26" s="16" t="s">
        <v>62</v>
      </c>
      <c r="L26" s="3" t="s">
        <v>80</v>
      </c>
      <c r="M26" s="3" t="s">
        <v>81</v>
      </c>
      <c r="N26" s="3" t="s">
        <v>82</v>
      </c>
    </row>
    <row r="27" spans="1:14" x14ac:dyDescent="0.3">
      <c r="A27" s="36" t="s">
        <v>37</v>
      </c>
      <c r="B27" s="13">
        <v>99</v>
      </c>
      <c r="C27" s="48" t="str">
        <f>HYPERLINK("https://uscode.house.gov/statutes/pl/99/529.pdf", "P.L. 99-529")</f>
        <v>P.L. 99-529</v>
      </c>
      <c r="D27" s="3" t="s">
        <v>97</v>
      </c>
      <c r="E27" s="3" t="s">
        <v>98</v>
      </c>
      <c r="F27" s="3" t="s">
        <v>99</v>
      </c>
      <c r="G27" s="48" t="str">
        <f>HYPERLINK("https://uscode.house.gov/view.xhtml?req=granuleid:USC-prelim-title22-section2151b&amp;num=0&amp;edition=prelim", "22 U.S.C. 2151b(C)(3)")</f>
        <v>22 U.S.C. 2151b(C)(3)</v>
      </c>
      <c r="H27" s="46">
        <v>32050</v>
      </c>
      <c r="I27" s="13">
        <v>1987</v>
      </c>
      <c r="J27" s="47">
        <v>75000000</v>
      </c>
      <c r="K27" s="47">
        <v>940000000</v>
      </c>
      <c r="L27" s="3" t="s">
        <v>80</v>
      </c>
      <c r="M27" s="3" t="s">
        <v>81</v>
      </c>
      <c r="N27" s="3" t="s">
        <v>82</v>
      </c>
    </row>
    <row r="28" spans="1:14" x14ac:dyDescent="0.3">
      <c r="A28" s="36" t="s">
        <v>37</v>
      </c>
      <c r="B28" s="13">
        <v>99</v>
      </c>
      <c r="C28" s="48" t="str">
        <f>HYPERLINK("https://uscode.house.gov/statutes/pl/99/529.pdf", "P.L. 99-529")</f>
        <v>P.L. 99-529</v>
      </c>
      <c r="D28" s="3" t="s">
        <v>97</v>
      </c>
      <c r="E28" s="3" t="s">
        <v>100</v>
      </c>
      <c r="F28" s="3" t="s">
        <v>101</v>
      </c>
      <c r="G28" s="48" t="str">
        <f>HYPERLINK("https://uscode.house.gov/view.xhtml?req=granuleid:USC-prelim-title22-section2151b&amp;num=0&amp;edition=prelim", "22 U.S.C. 2151b(g)(1)")</f>
        <v>22 U.S.C. 2151b(g)(1)</v>
      </c>
      <c r="H28" s="46">
        <v>32050</v>
      </c>
      <c r="I28" s="13">
        <v>1987</v>
      </c>
      <c r="J28" s="47">
        <v>180000000</v>
      </c>
      <c r="K28" s="16" t="s">
        <v>62</v>
      </c>
      <c r="L28" s="3" t="s">
        <v>80</v>
      </c>
      <c r="M28" s="3" t="s">
        <v>81</v>
      </c>
      <c r="N28" s="3" t="s">
        <v>82</v>
      </c>
    </row>
    <row r="29" spans="1:14" x14ac:dyDescent="0.3">
      <c r="A29" s="36" t="s">
        <v>37</v>
      </c>
      <c r="B29" s="13">
        <v>99</v>
      </c>
      <c r="C29" s="48" t="str">
        <f>HYPERLINK("https://uscode.house.gov/statutes/pl/99/529.pdf", "P.L. 99-529")</f>
        <v>P.L. 99-529</v>
      </c>
      <c r="D29" s="3" t="s">
        <v>97</v>
      </c>
      <c r="E29" s="3" t="s">
        <v>102</v>
      </c>
      <c r="F29" s="3" t="s">
        <v>103</v>
      </c>
      <c r="G29" s="48" t="str">
        <f>HYPERLINK("https://uscode.house.gov/view.xhtml?req=granuleid:USC-prelim-title22-section2222&amp;num=0&amp;edition=prelim", "22 U.S.C. 2222(a)(1)")</f>
        <v>22 U.S.C. 2222(a)(1)</v>
      </c>
      <c r="H29" s="46">
        <v>32050</v>
      </c>
      <c r="I29" s="13">
        <v>1987</v>
      </c>
      <c r="J29" s="47">
        <v>236084000</v>
      </c>
      <c r="K29" s="47">
        <v>508600000</v>
      </c>
      <c r="L29" s="3" t="s">
        <v>80</v>
      </c>
      <c r="M29" s="3" t="s">
        <v>81</v>
      </c>
      <c r="N29" s="3" t="s">
        <v>82</v>
      </c>
    </row>
    <row r="30" spans="1:14" x14ac:dyDescent="0.3">
      <c r="A30" s="36" t="s">
        <v>37</v>
      </c>
      <c r="B30" s="13">
        <v>99</v>
      </c>
      <c r="C30" s="48" t="str">
        <f>HYPERLINK("https://uscode.house.gov/statutes/pl/99/552.pdf", "P.L. 99-552")</f>
        <v>P.L. 99-552</v>
      </c>
      <c r="D30" s="3" t="s">
        <v>104</v>
      </c>
      <c r="E30" s="3" t="s">
        <v>105</v>
      </c>
      <c r="F30" s="3" t="s">
        <v>106</v>
      </c>
      <c r="G30" s="48" t="str">
        <f>HYPERLINK("https://uscode.house.gov/view.xhtml?req=granuleid:USC-prelim-title16-section460ss-5&amp;num=0&amp;edition=prelim", "16 U.S.C. 460ss-5(a)")</f>
        <v>16 U.S.C. 460ss-5(a)</v>
      </c>
      <c r="H30" s="46">
        <v>38990</v>
      </c>
      <c r="I30" s="13">
        <v>2006</v>
      </c>
      <c r="J30" s="16" t="s">
        <v>12</v>
      </c>
      <c r="K30" s="47">
        <v>3750000</v>
      </c>
      <c r="L30" s="3" t="s">
        <v>47</v>
      </c>
      <c r="M30" s="3" t="s">
        <v>67</v>
      </c>
      <c r="N30" s="3" t="s">
        <v>49</v>
      </c>
    </row>
    <row r="31" spans="1:14" x14ac:dyDescent="0.3">
      <c r="A31" s="36" t="s">
        <v>37</v>
      </c>
      <c r="B31" s="13">
        <v>100</v>
      </c>
      <c r="C31" s="48" t="str">
        <f>HYPERLINK("https://uscode.house.gov/statutes/pl/100/4.pdf", "P.L. 100-4")</f>
        <v>P.L. 100-4</v>
      </c>
      <c r="D31" s="3" t="s">
        <v>107</v>
      </c>
      <c r="F31" s="3" t="s">
        <v>108</v>
      </c>
      <c r="G31" s="49"/>
      <c r="H31" s="46">
        <v>33146</v>
      </c>
      <c r="I31" s="13">
        <v>1990</v>
      </c>
      <c r="J31" s="16" t="s">
        <v>12</v>
      </c>
      <c r="K31" s="16" t="s">
        <v>62</v>
      </c>
      <c r="L31" s="3" t="s">
        <v>109</v>
      </c>
      <c r="M31" s="3" t="s">
        <v>67</v>
      </c>
      <c r="N31" s="3" t="s">
        <v>49</v>
      </c>
    </row>
    <row r="32" spans="1:14" x14ac:dyDescent="0.3">
      <c r="A32" s="36" t="s">
        <v>37</v>
      </c>
      <c r="B32" s="13">
        <v>100</v>
      </c>
      <c r="C32" s="48" t="str">
        <f>HYPERLINK("https://uscode.house.gov/statutes/pl/100/4.pdf", "P.L. 100-4")</f>
        <v>P.L. 100-4</v>
      </c>
      <c r="D32" s="3" t="s">
        <v>107</v>
      </c>
      <c r="F32" s="3" t="s">
        <v>110</v>
      </c>
      <c r="G32" s="49"/>
      <c r="H32" s="46">
        <v>33511</v>
      </c>
      <c r="I32" s="13">
        <v>1991</v>
      </c>
      <c r="J32" s="16" t="s">
        <v>12</v>
      </c>
      <c r="K32" s="47">
        <v>182000000</v>
      </c>
      <c r="L32" s="3" t="s">
        <v>109</v>
      </c>
      <c r="M32" s="3" t="s">
        <v>67</v>
      </c>
      <c r="N32" s="3" t="s">
        <v>49</v>
      </c>
    </row>
    <row r="33" spans="1:14" x14ac:dyDescent="0.3">
      <c r="A33" s="36" t="s">
        <v>37</v>
      </c>
      <c r="B33" s="13">
        <v>100</v>
      </c>
      <c r="C33" s="48" t="str">
        <f>HYPERLINK("https://uscode.house.gov/statutes/pl/100/478.pdf", "P.L. 100-478")</f>
        <v>P.L. 100-478</v>
      </c>
      <c r="D33" s="3" t="s">
        <v>111</v>
      </c>
      <c r="E33" s="3" t="s">
        <v>112</v>
      </c>
      <c r="F33" s="3" t="s">
        <v>113</v>
      </c>
      <c r="G33" s="48" t="str">
        <f>HYPERLINK("https://uscode.house.gov/view.xhtml?req=granuleid:USC-prelim-title16-section1542&amp;num=0&amp;edition=prelim", "16 U.S.C. 1542")</f>
        <v>16 U.S.C. 1542</v>
      </c>
      <c r="H33" s="46">
        <v>33877</v>
      </c>
      <c r="I33" s="13">
        <v>1992</v>
      </c>
      <c r="J33" s="47">
        <v>41500000</v>
      </c>
      <c r="K33" s="47">
        <v>24564000</v>
      </c>
      <c r="L33" s="3" t="s">
        <v>47</v>
      </c>
      <c r="M33" s="3" t="s">
        <v>67</v>
      </c>
      <c r="N33" s="3" t="s">
        <v>49</v>
      </c>
    </row>
    <row r="34" spans="1:14" x14ac:dyDescent="0.3">
      <c r="A34" s="36" t="s">
        <v>37</v>
      </c>
      <c r="B34" s="13">
        <v>100</v>
      </c>
      <c r="C34" s="48" t="str">
        <f>HYPERLINK("https://uscode.house.gov/statutes/pl/100/551.pdf", "P.L. 100-551")</f>
        <v>P.L. 100-551</v>
      </c>
      <c r="D34" s="3" t="s">
        <v>114</v>
      </c>
      <c r="E34" s="3" t="s">
        <v>115</v>
      </c>
      <c r="F34" s="3" t="s">
        <v>116</v>
      </c>
      <c r="G34" s="48" t="str">
        <f>HYPERLINK("https://uscode.house.gov/view.xhtml?req=granuleid:USC-prelim-title15-section2665&amp;num=0&amp;edition=prelim", "15 U.S.C. 2665(e)(1)")</f>
        <v>15 U.S.C. 2665(e)(1)</v>
      </c>
      <c r="H34" s="46">
        <v>33511</v>
      </c>
      <c r="I34" s="13">
        <v>1991</v>
      </c>
      <c r="J34" s="47">
        <v>14000000</v>
      </c>
      <c r="K34" s="47">
        <v>10995000</v>
      </c>
      <c r="L34" s="3" t="s">
        <v>60</v>
      </c>
      <c r="M34" s="3" t="s">
        <v>67</v>
      </c>
      <c r="N34" s="3" t="s">
        <v>49</v>
      </c>
    </row>
    <row r="35" spans="1:14" x14ac:dyDescent="0.3">
      <c r="A35" s="36" t="s">
        <v>37</v>
      </c>
      <c r="B35" s="13">
        <v>100</v>
      </c>
      <c r="C35" s="48" t="str">
        <f>HYPERLINK("https://uscode.house.gov/statutes/pl/100/572.pdf", "P.L. 100-572")</f>
        <v>P.L. 100-572</v>
      </c>
      <c r="D35" s="3" t="s">
        <v>117</v>
      </c>
      <c r="F35" s="3" t="s">
        <v>118</v>
      </c>
      <c r="G35" s="48" t="str">
        <f>HYPERLINK("https://uscode.house.gov/view.xhtml?req=granuleid:USC-prelim-title42-section300j-25&amp;num=0&amp;edition=prelim", "42 U.S.C. 300j-25")</f>
        <v>42 U.S.C. 300j-25</v>
      </c>
      <c r="H35" s="46">
        <v>33511</v>
      </c>
      <c r="I35" s="13">
        <v>1991</v>
      </c>
      <c r="J35" s="47">
        <v>30000000</v>
      </c>
      <c r="K35" s="47">
        <v>16326000</v>
      </c>
      <c r="L35" s="3" t="s">
        <v>60</v>
      </c>
      <c r="M35" s="3" t="s">
        <v>67</v>
      </c>
      <c r="N35" s="3" t="s">
        <v>49</v>
      </c>
    </row>
    <row r="36" spans="1:14" x14ac:dyDescent="0.3">
      <c r="A36" s="36" t="s">
        <v>37</v>
      </c>
      <c r="B36" s="13">
        <v>100</v>
      </c>
      <c r="C36" s="48" t="str">
        <f>HYPERLINK("https://uscode.house.gov/statutes/pl/100/690.pdf", "P.L. 100-690")</f>
        <v>P.L. 100-690</v>
      </c>
      <c r="D36" s="3" t="s">
        <v>119</v>
      </c>
      <c r="E36" s="3" t="s">
        <v>120</v>
      </c>
      <c r="F36" s="3" t="s">
        <v>121</v>
      </c>
      <c r="G36" s="48" t="str">
        <f>HYPERLINK("https://uscode.house.gov/view.xhtml?req=granuleid:USC-prelim-title28-section524&amp;num=0&amp;edition=prelim", "28 U.S.C. 524(c)")</f>
        <v>28 U.S.C. 524(c)</v>
      </c>
      <c r="H36" s="46">
        <v>33511</v>
      </c>
      <c r="I36" s="13">
        <v>1991</v>
      </c>
      <c r="J36" s="47">
        <v>50000000</v>
      </c>
      <c r="K36" s="47">
        <v>354552000</v>
      </c>
      <c r="L36" s="3" t="s">
        <v>41</v>
      </c>
      <c r="M36" s="3" t="s">
        <v>42</v>
      </c>
      <c r="N36" s="3" t="s">
        <v>122</v>
      </c>
    </row>
    <row r="37" spans="1:14" x14ac:dyDescent="0.3">
      <c r="A37" s="36" t="s">
        <v>37</v>
      </c>
      <c r="B37" s="13">
        <v>101</v>
      </c>
      <c r="C37" s="48" t="str">
        <f>HYPERLINK("https://uscode.house.gov/statutes/pl/101/508.pdf", "P.L. 101-508")</f>
        <v>P.L. 101-508</v>
      </c>
      <c r="D37" s="3" t="s">
        <v>123</v>
      </c>
      <c r="E37" s="3" t="s">
        <v>124</v>
      </c>
      <c r="F37" s="3" t="s">
        <v>125</v>
      </c>
      <c r="G37" s="48" t="str">
        <f>HYPERLINK("https://uscode.house.gov/view.xhtml?req=granuleid:USC-prelim-title26-section9507&amp;num=0&amp;edition=prelim", "26 U.S.C. 9507(note)")</f>
        <v>26 U.S.C. 9507(note)</v>
      </c>
      <c r="H37" s="46">
        <v>34607</v>
      </c>
      <c r="I37" s="13">
        <v>1994</v>
      </c>
      <c r="J37" s="16" t="s">
        <v>12</v>
      </c>
      <c r="K37" s="47">
        <v>1866700000</v>
      </c>
      <c r="L37" s="3" t="s">
        <v>60</v>
      </c>
      <c r="M37" s="3" t="s">
        <v>67</v>
      </c>
      <c r="N37" s="3" t="s">
        <v>49</v>
      </c>
    </row>
    <row r="38" spans="1:14" x14ac:dyDescent="0.3">
      <c r="A38" s="36" t="s">
        <v>37</v>
      </c>
      <c r="B38" s="13">
        <v>101</v>
      </c>
      <c r="C38" s="48" t="str">
        <f>HYPERLINK("https://uscode.house.gov/statutes/pl/101/508.pdf", "P.L. 101-508")</f>
        <v>P.L. 101-508</v>
      </c>
      <c r="D38" s="3" t="s">
        <v>123</v>
      </c>
      <c r="E38" s="3" t="s">
        <v>126</v>
      </c>
      <c r="F38" s="3" t="s">
        <v>127</v>
      </c>
      <c r="G38" s="48" t="str">
        <f>HYPERLINK("https://uscode.house.gov/view.xhtml?req=granuleid:USC-prelim-title42-section9611&amp;num=0&amp;edition=prelim", "42 U.S.C. 9611(p)")</f>
        <v>42 U.S.C. 9611(p)</v>
      </c>
      <c r="H38" s="46">
        <v>34607</v>
      </c>
      <c r="I38" s="13">
        <v>1994</v>
      </c>
      <c r="J38" s="47">
        <v>250000000</v>
      </c>
      <c r="K38" s="16" t="s">
        <v>62</v>
      </c>
      <c r="L38" s="3" t="s">
        <v>60</v>
      </c>
      <c r="M38" s="3" t="s">
        <v>67</v>
      </c>
      <c r="N38" s="3" t="s">
        <v>49</v>
      </c>
    </row>
    <row r="39" spans="1:14" x14ac:dyDescent="0.3">
      <c r="A39" s="36" t="s">
        <v>37</v>
      </c>
      <c r="B39" s="13">
        <v>101</v>
      </c>
      <c r="C39" s="48" t="str">
        <f>HYPERLINK("https://uscode.house.gov/statutes/pl/101/512.pdf", "P.L. 101-512")</f>
        <v>P.L. 101-512</v>
      </c>
      <c r="D39" s="3" t="s">
        <v>128</v>
      </c>
      <c r="F39" s="3" t="s">
        <v>129</v>
      </c>
      <c r="G39" s="48" t="str">
        <f>HYPERLINK("https://uscode.house.gov/view.xhtml?req=granuleid:USC-prelim-title20-section960&amp;num=0&amp;edition=prelim", "20 U.S.C. 960")</f>
        <v>20 U.S.C. 960</v>
      </c>
      <c r="H39" s="46">
        <v>34242</v>
      </c>
      <c r="I39" s="13">
        <v>1993</v>
      </c>
      <c r="J39" s="16" t="s">
        <v>12</v>
      </c>
      <c r="K39" s="47">
        <v>414000000</v>
      </c>
      <c r="L39" s="3" t="s">
        <v>130</v>
      </c>
      <c r="M39" s="3" t="s">
        <v>71</v>
      </c>
      <c r="N39" s="3" t="s">
        <v>49</v>
      </c>
    </row>
    <row r="40" spans="1:14" x14ac:dyDescent="0.3">
      <c r="A40" s="36" t="s">
        <v>37</v>
      </c>
      <c r="B40" s="13">
        <v>101</v>
      </c>
      <c r="C40" s="48" t="str">
        <f>HYPERLINK("https://uscode.house.gov/statutes/pl/101/549.pdf", "P.L. 101-549")</f>
        <v>P.L. 101-549</v>
      </c>
      <c r="D40" s="3" t="s">
        <v>131</v>
      </c>
      <c r="F40" s="3" t="s">
        <v>132</v>
      </c>
      <c r="G40" s="49"/>
      <c r="H40" s="46">
        <v>36068</v>
      </c>
      <c r="I40" s="13">
        <v>1998</v>
      </c>
      <c r="J40" s="47">
        <v>65000000</v>
      </c>
      <c r="K40" s="16" t="s">
        <v>62</v>
      </c>
      <c r="L40" s="3" t="s">
        <v>60</v>
      </c>
      <c r="M40" s="3" t="s">
        <v>67</v>
      </c>
      <c r="N40" s="3" t="s">
        <v>49</v>
      </c>
    </row>
    <row r="41" spans="1:14" x14ac:dyDescent="0.3">
      <c r="A41" s="36" t="s">
        <v>37</v>
      </c>
      <c r="B41" s="13">
        <v>101</v>
      </c>
      <c r="C41" s="48" t="str">
        <f>HYPERLINK("https://uscode.house.gov/statutes/pl/101/549.pdf", "P.L. 101-549")</f>
        <v>P.L. 101-549</v>
      </c>
      <c r="D41" s="3" t="s">
        <v>131</v>
      </c>
      <c r="F41" s="3" t="s">
        <v>133</v>
      </c>
      <c r="G41" s="49"/>
      <c r="H41" s="46">
        <v>34972</v>
      </c>
      <c r="I41" s="13">
        <v>1995</v>
      </c>
      <c r="J41" s="16" t="s">
        <v>12</v>
      </c>
      <c r="K41" s="16" t="s">
        <v>62</v>
      </c>
      <c r="L41" s="3" t="s">
        <v>60</v>
      </c>
      <c r="M41" s="3" t="s">
        <v>67</v>
      </c>
      <c r="N41" s="3" t="s">
        <v>49</v>
      </c>
    </row>
    <row r="42" spans="1:14" x14ac:dyDescent="0.3">
      <c r="A42" s="36" t="s">
        <v>37</v>
      </c>
      <c r="B42" s="13">
        <v>101</v>
      </c>
      <c r="C42" s="48" t="str">
        <f>HYPERLINK("https://uscode.house.gov/statutes/pl/101/549.pdf", "P.L. 101-549")</f>
        <v>P.L. 101-549</v>
      </c>
      <c r="D42" s="3" t="s">
        <v>131</v>
      </c>
      <c r="F42" s="3" t="s">
        <v>134</v>
      </c>
      <c r="G42" s="49"/>
      <c r="H42" s="46">
        <v>36068</v>
      </c>
      <c r="I42" s="13">
        <v>1998</v>
      </c>
      <c r="J42" s="16" t="s">
        <v>12</v>
      </c>
      <c r="K42" s="16" t="s">
        <v>62</v>
      </c>
      <c r="L42" s="3" t="s">
        <v>135</v>
      </c>
      <c r="M42" s="3" t="s">
        <v>67</v>
      </c>
      <c r="N42" s="3" t="s">
        <v>49</v>
      </c>
    </row>
    <row r="43" spans="1:14" x14ac:dyDescent="0.3">
      <c r="A43" s="36" t="s">
        <v>37</v>
      </c>
      <c r="B43" s="13">
        <v>101</v>
      </c>
      <c r="C43" s="48" t="str">
        <f>HYPERLINK("https://uscode.house.gov/statutes/pl/101/549.pdf", "P.L. 101-549")</f>
        <v>P.L. 101-549</v>
      </c>
      <c r="D43" s="3" t="s">
        <v>131</v>
      </c>
      <c r="F43" s="3" t="s">
        <v>136</v>
      </c>
      <c r="G43" s="49"/>
      <c r="H43" s="46">
        <v>34972</v>
      </c>
      <c r="I43" s="13">
        <v>1995</v>
      </c>
      <c r="J43" s="16" t="s">
        <v>12</v>
      </c>
      <c r="K43" s="16" t="s">
        <v>62</v>
      </c>
      <c r="L43" s="3" t="s">
        <v>60</v>
      </c>
      <c r="M43" s="3" t="s">
        <v>67</v>
      </c>
      <c r="N43" s="3" t="s">
        <v>49</v>
      </c>
    </row>
    <row r="44" spans="1:14" x14ac:dyDescent="0.3">
      <c r="A44" s="36" t="s">
        <v>37</v>
      </c>
      <c r="B44" s="13">
        <v>101</v>
      </c>
      <c r="C44" s="48" t="str">
        <f>HYPERLINK("https://uscode.house.gov/statutes/pl/101/593.pdf", "P.L. 101-593")</f>
        <v>P.L. 101-593</v>
      </c>
      <c r="D44" s="3" t="s">
        <v>137</v>
      </c>
      <c r="E44" s="3" t="s">
        <v>138</v>
      </c>
      <c r="F44" s="3" t="s">
        <v>139</v>
      </c>
      <c r="G44" s="48" t="str">
        <f>HYPERLINK("https://uscode.house.gov/view.xhtml?req=granuleid:USC-prelim-title16-section1447f&amp;num=0&amp;edition=prelim", "16 U.S.C. 1447f")</f>
        <v>16 U.S.C. 1447f</v>
      </c>
      <c r="H44" s="46">
        <v>35338</v>
      </c>
      <c r="I44" s="13">
        <v>1996</v>
      </c>
      <c r="J44" s="47">
        <v>18000000</v>
      </c>
      <c r="K44" s="16" t="s">
        <v>62</v>
      </c>
      <c r="L44" s="3" t="s">
        <v>109</v>
      </c>
      <c r="M44" s="3" t="s">
        <v>67</v>
      </c>
      <c r="N44" s="3" t="s">
        <v>49</v>
      </c>
    </row>
    <row r="45" spans="1:14" x14ac:dyDescent="0.3">
      <c r="A45" s="36" t="s">
        <v>37</v>
      </c>
      <c r="B45" s="13">
        <v>101</v>
      </c>
      <c r="C45" s="48" t="str">
        <f>HYPERLINK("https://uscode.house.gov/statutes/pl/101/619.pdf", "P.L. 101-619")</f>
        <v>P.L. 101-619</v>
      </c>
      <c r="D45" s="3" t="s">
        <v>140</v>
      </c>
      <c r="E45" s="3" t="s">
        <v>141</v>
      </c>
      <c r="F45" s="3" t="s">
        <v>142</v>
      </c>
      <c r="G45" s="48" t="str">
        <f>HYPERLINK("https://uscode.house.gov/view.xhtml?req=granuleid:USC-prelim-title20-section5510&amp;num=0&amp;edition=prelim", "20 U.S.C. 5510")</f>
        <v>20 U.S.C. 5510</v>
      </c>
      <c r="H45" s="46">
        <v>35338</v>
      </c>
      <c r="I45" s="13">
        <v>1996</v>
      </c>
      <c r="J45" s="47">
        <v>14000000</v>
      </c>
      <c r="K45" s="47">
        <v>9500000</v>
      </c>
      <c r="L45" s="3" t="s">
        <v>130</v>
      </c>
      <c r="M45" s="3" t="s">
        <v>67</v>
      </c>
      <c r="N45" s="3" t="s">
        <v>49</v>
      </c>
    </row>
    <row r="46" spans="1:14" x14ac:dyDescent="0.3">
      <c r="A46" s="36" t="s">
        <v>37</v>
      </c>
      <c r="B46" s="13">
        <v>102</v>
      </c>
      <c r="C46" s="48" t="str">
        <f>HYPERLINK("https://uscode.house.gov/statutes/pl/102/138.pdf", "P.L. 102-138")</f>
        <v>P.L. 102-138</v>
      </c>
      <c r="D46" s="3" t="s">
        <v>143</v>
      </c>
      <c r="E46" s="3" t="s">
        <v>144</v>
      </c>
      <c r="F46" s="3" t="s">
        <v>145</v>
      </c>
      <c r="G46" s="48" t="str">
        <f>HYPERLINK("https://uscode.house.gov/view.xhtml?req=granuleid:USC-prelim-title22-section290f&amp;num=0&amp;edition=prelim", "22 U.S.C. 290f(s)(2)")</f>
        <v>22 U.S.C. 290f(s)(2)</v>
      </c>
      <c r="H46" s="46">
        <v>33877</v>
      </c>
      <c r="I46" s="13">
        <v>1992</v>
      </c>
      <c r="J46" s="47">
        <v>31000000</v>
      </c>
      <c r="K46" s="47">
        <v>47000000</v>
      </c>
      <c r="L46" s="3" t="s">
        <v>80</v>
      </c>
      <c r="M46" s="3" t="s">
        <v>81</v>
      </c>
      <c r="N46" s="3" t="s">
        <v>82</v>
      </c>
    </row>
    <row r="47" spans="1:14" x14ac:dyDescent="0.3">
      <c r="A47" s="36" t="s">
        <v>37</v>
      </c>
      <c r="B47" s="13">
        <v>102</v>
      </c>
      <c r="C47" s="48" t="str">
        <f>HYPERLINK("https://uscode.house.gov/statutes/pl/102/356.pdf", "P.L. 102-356")</f>
        <v>P.L. 102-356</v>
      </c>
      <c r="D47" s="3" t="s">
        <v>146</v>
      </c>
      <c r="F47" s="3" t="s">
        <v>147</v>
      </c>
      <c r="G47" s="49"/>
      <c r="H47" s="46">
        <v>34607</v>
      </c>
      <c r="I47" s="13">
        <v>1994</v>
      </c>
      <c r="J47" s="47">
        <v>42000000</v>
      </c>
      <c r="K47" s="16" t="s">
        <v>62</v>
      </c>
      <c r="L47" s="3" t="s">
        <v>60</v>
      </c>
      <c r="M47" s="3" t="s">
        <v>148</v>
      </c>
      <c r="N47" s="3" t="s">
        <v>43</v>
      </c>
    </row>
    <row r="48" spans="1:14" x14ac:dyDescent="0.3">
      <c r="A48" s="36" t="s">
        <v>37</v>
      </c>
      <c r="B48" s="13">
        <v>102</v>
      </c>
      <c r="C48" s="48" t="str">
        <f>HYPERLINK("https://uscode.house.gov/statutes/pl/102/356.pdf", "P.L. 102-356")</f>
        <v>P.L. 102-356</v>
      </c>
      <c r="D48" s="3" t="s">
        <v>146</v>
      </c>
      <c r="E48" s="3" t="s">
        <v>149</v>
      </c>
      <c r="F48" s="3" t="s">
        <v>150</v>
      </c>
      <c r="G48" s="48" t="str">
        <f>HYPERLINK("https://uscode.house.gov/view.xhtml?req=granuleid:USC-prelim-title47-section396&amp;num=0&amp;edition=prelim", "47 U.S.C. 396(k)(1)")</f>
        <v>47 U.S.C. 396(k)(1)</v>
      </c>
      <c r="H48" s="46">
        <v>35338</v>
      </c>
      <c r="I48" s="13">
        <v>1996</v>
      </c>
      <c r="J48" s="47">
        <v>425000000</v>
      </c>
      <c r="K48" s="47">
        <v>535000000</v>
      </c>
      <c r="L48" s="3" t="s">
        <v>60</v>
      </c>
      <c r="M48" s="3" t="s">
        <v>148</v>
      </c>
      <c r="N48" s="3" t="s">
        <v>72</v>
      </c>
    </row>
    <row r="49" spans="1:14" x14ac:dyDescent="0.3">
      <c r="A49" s="36" t="s">
        <v>37</v>
      </c>
      <c r="B49" s="13">
        <v>102</v>
      </c>
      <c r="C49" s="48" t="str">
        <f>HYPERLINK("https://uscode.house.gov/statutes/pl/102/538.pdf", "P.L. 102-538")</f>
        <v>P.L. 102-538</v>
      </c>
      <c r="D49" s="3" t="s">
        <v>151</v>
      </c>
      <c r="F49" s="3" t="s">
        <v>152</v>
      </c>
      <c r="G49" s="49"/>
      <c r="H49" s="46">
        <v>34242</v>
      </c>
      <c r="I49" s="13">
        <v>1993</v>
      </c>
      <c r="J49" s="47">
        <v>19400000</v>
      </c>
      <c r="K49" s="47">
        <v>62000000</v>
      </c>
      <c r="L49" s="3" t="s">
        <v>60</v>
      </c>
      <c r="M49" s="3" t="s">
        <v>148</v>
      </c>
      <c r="N49" s="3" t="s">
        <v>43</v>
      </c>
    </row>
    <row r="50" spans="1:14" x14ac:dyDescent="0.3">
      <c r="A50" s="36" t="s">
        <v>37</v>
      </c>
      <c r="B50" s="13">
        <v>102</v>
      </c>
      <c r="C50" s="48" t="str">
        <f t="shared" ref="C50:C56" si="1">HYPERLINK("https://uscode.house.gov/statutes/pl/102/550.pdf", "P.L. 102-550")</f>
        <v>P.L. 102-550</v>
      </c>
      <c r="D50" s="3" t="s">
        <v>153</v>
      </c>
      <c r="E50" s="3" t="s">
        <v>154</v>
      </c>
      <c r="F50" s="3" t="s">
        <v>155</v>
      </c>
      <c r="G50" s="48" t="str">
        <f>HYPERLINK("https://uscode.house.gov/view.xhtml?req=granuleid:USC-prelim-title42-section5303&amp;num=0&amp;edition=prelim", "42 U.S.C. 5303")</f>
        <v>42 U.S.C. 5303</v>
      </c>
      <c r="H50" s="46">
        <v>34607</v>
      </c>
      <c r="I50" s="13">
        <v>1994</v>
      </c>
      <c r="J50" s="47">
        <v>4168000000</v>
      </c>
      <c r="K50" s="47">
        <v>8300000000</v>
      </c>
      <c r="L50" s="3" t="s">
        <v>156</v>
      </c>
      <c r="M50" s="3" t="s">
        <v>157</v>
      </c>
      <c r="N50" s="3" t="s">
        <v>158</v>
      </c>
    </row>
    <row r="51" spans="1:14" x14ac:dyDescent="0.3">
      <c r="A51" s="36" t="s">
        <v>37</v>
      </c>
      <c r="B51" s="13">
        <v>102</v>
      </c>
      <c r="C51" s="48" t="str">
        <f t="shared" si="1"/>
        <v>P.L. 102-550</v>
      </c>
      <c r="D51" s="3" t="s">
        <v>153</v>
      </c>
      <c r="F51" s="3" t="s">
        <v>159</v>
      </c>
      <c r="G51" s="49"/>
      <c r="H51" s="46">
        <v>34607</v>
      </c>
      <c r="I51" s="13">
        <v>1994</v>
      </c>
      <c r="J51" s="47">
        <v>36470000</v>
      </c>
      <c r="K51" s="47">
        <v>145000000</v>
      </c>
      <c r="L51" s="3" t="s">
        <v>156</v>
      </c>
      <c r="M51" s="3" t="s">
        <v>157</v>
      </c>
      <c r="N51" s="3" t="s">
        <v>158</v>
      </c>
    </row>
    <row r="52" spans="1:14" x14ac:dyDescent="0.3">
      <c r="A52" s="36" t="s">
        <v>37</v>
      </c>
      <c r="B52" s="13">
        <v>102</v>
      </c>
      <c r="C52" s="48" t="str">
        <f t="shared" si="1"/>
        <v>P.L. 102-550</v>
      </c>
      <c r="D52" s="3" t="s">
        <v>153</v>
      </c>
      <c r="F52" s="3" t="s">
        <v>160</v>
      </c>
      <c r="G52" s="49"/>
      <c r="H52" s="46">
        <v>34607</v>
      </c>
      <c r="I52" s="13">
        <v>1994</v>
      </c>
      <c r="J52" s="47">
        <v>26000000</v>
      </c>
      <c r="K52" s="47">
        <v>56000000</v>
      </c>
      <c r="L52" s="3" t="s">
        <v>156</v>
      </c>
      <c r="M52" s="3" t="s">
        <v>157</v>
      </c>
      <c r="N52" s="3" t="s">
        <v>158</v>
      </c>
    </row>
    <row r="53" spans="1:14" x14ac:dyDescent="0.3">
      <c r="A53" s="36" t="s">
        <v>37</v>
      </c>
      <c r="B53" s="13">
        <v>102</v>
      </c>
      <c r="C53" s="48" t="str">
        <f t="shared" si="1"/>
        <v>P.L. 102-550</v>
      </c>
      <c r="D53" s="3" t="s">
        <v>153</v>
      </c>
      <c r="F53" s="3" t="s">
        <v>161</v>
      </c>
      <c r="G53" s="49"/>
      <c r="H53" s="46">
        <v>34607</v>
      </c>
      <c r="I53" s="13">
        <v>1994</v>
      </c>
      <c r="J53" s="47">
        <v>250000000</v>
      </c>
      <c r="K53" s="47">
        <v>410000000</v>
      </c>
      <c r="L53" s="3" t="s">
        <v>156</v>
      </c>
      <c r="M53" s="3" t="s">
        <v>157</v>
      </c>
      <c r="N53" s="3" t="s">
        <v>158</v>
      </c>
    </row>
    <row r="54" spans="1:14" x14ac:dyDescent="0.3">
      <c r="A54" s="36" t="s">
        <v>37</v>
      </c>
      <c r="B54" s="13">
        <v>102</v>
      </c>
      <c r="C54" s="48" t="str">
        <f t="shared" si="1"/>
        <v>P.L. 102-550</v>
      </c>
      <c r="D54" s="3" t="s">
        <v>153</v>
      </c>
      <c r="F54" s="3" t="s">
        <v>162</v>
      </c>
      <c r="G54" s="48" t="str">
        <f>HYPERLINK("https://uscode.house.gov/view.xhtml?req=granuleid:USC-prelim-title42-section12724&amp;num=0&amp;edition=prelim", "42 U.S.C. 12724")</f>
        <v>42 U.S.C. 12724</v>
      </c>
      <c r="H54" s="46">
        <v>34607</v>
      </c>
      <c r="I54" s="13">
        <v>1994</v>
      </c>
      <c r="J54" s="47">
        <v>2173612000</v>
      </c>
      <c r="K54" s="47">
        <v>1500000000</v>
      </c>
      <c r="L54" s="3" t="s">
        <v>156</v>
      </c>
      <c r="M54" s="3" t="s">
        <v>157</v>
      </c>
      <c r="N54" s="3" t="s">
        <v>158</v>
      </c>
    </row>
    <row r="55" spans="1:14" x14ac:dyDescent="0.3">
      <c r="A55" s="36" t="s">
        <v>37</v>
      </c>
      <c r="B55" s="13">
        <v>102</v>
      </c>
      <c r="C55" s="48" t="str">
        <f t="shared" si="1"/>
        <v>P.L. 102-550</v>
      </c>
      <c r="D55" s="3" t="s">
        <v>153</v>
      </c>
      <c r="F55" s="3" t="s">
        <v>163</v>
      </c>
      <c r="G55" s="49"/>
      <c r="H55" s="46">
        <v>34607</v>
      </c>
      <c r="I55" s="13">
        <v>1994</v>
      </c>
      <c r="J55" s="47">
        <v>156300000</v>
      </c>
      <c r="K55" s="47">
        <v>499000000</v>
      </c>
      <c r="L55" s="3" t="s">
        <v>156</v>
      </c>
      <c r="M55" s="3" t="s">
        <v>157</v>
      </c>
      <c r="N55" s="3" t="s">
        <v>158</v>
      </c>
    </row>
    <row r="56" spans="1:14" x14ac:dyDescent="0.3">
      <c r="A56" s="36" t="s">
        <v>37</v>
      </c>
      <c r="B56" s="13">
        <v>102</v>
      </c>
      <c r="C56" s="48" t="str">
        <f t="shared" si="1"/>
        <v>P.L. 102-550</v>
      </c>
      <c r="D56" s="3" t="s">
        <v>153</v>
      </c>
      <c r="E56" s="3" t="s">
        <v>164</v>
      </c>
      <c r="F56" s="3" t="s">
        <v>165</v>
      </c>
      <c r="G56" s="48" t="str">
        <f>HYPERLINK("https://uscode.house.gov/view.xhtml?req=granuleid:USC-prelim-title42-section8107&amp;num=0&amp;edition=prelim", "42 U.S.C. 8107(a)")</f>
        <v>42 U.S.C. 8107(a)</v>
      </c>
      <c r="H56" s="46">
        <v>34607</v>
      </c>
      <c r="I56" s="13">
        <v>1994</v>
      </c>
      <c r="J56" s="47">
        <v>30714000</v>
      </c>
      <c r="K56" s="47">
        <v>170000000</v>
      </c>
      <c r="L56" s="3" t="s">
        <v>156</v>
      </c>
      <c r="M56" s="3" t="s">
        <v>157</v>
      </c>
      <c r="N56" s="3" t="s">
        <v>158</v>
      </c>
    </row>
    <row r="57" spans="1:14" x14ac:dyDescent="0.3">
      <c r="A57" s="36" t="s">
        <v>37</v>
      </c>
      <c r="B57" s="13">
        <v>102</v>
      </c>
      <c r="C57" s="48" t="str">
        <f t="shared" ref="C57:C71" si="2">HYPERLINK("https://uscode.house.gov/statutes/pl/102/567.pdf", "P.L. 102-567")</f>
        <v>P.L. 102-567</v>
      </c>
      <c r="D57" s="3" t="s">
        <v>166</v>
      </c>
      <c r="E57" s="3" t="s">
        <v>167</v>
      </c>
      <c r="F57" s="3" t="s">
        <v>168</v>
      </c>
      <c r="G57" s="49"/>
      <c r="H57" s="46">
        <v>34242</v>
      </c>
      <c r="I57" s="13">
        <v>1993</v>
      </c>
      <c r="J57" s="47">
        <v>394687000</v>
      </c>
      <c r="K57" s="47">
        <v>1247393000</v>
      </c>
      <c r="L57" s="3" t="s">
        <v>135</v>
      </c>
      <c r="M57" s="3" t="s">
        <v>148</v>
      </c>
      <c r="N57" s="3" t="s">
        <v>43</v>
      </c>
    </row>
    <row r="58" spans="1:14" x14ac:dyDescent="0.3">
      <c r="A58" s="36" t="s">
        <v>37</v>
      </c>
      <c r="B58" s="13">
        <v>102</v>
      </c>
      <c r="C58" s="48" t="str">
        <f t="shared" si="2"/>
        <v>P.L. 102-567</v>
      </c>
      <c r="D58" s="3" t="s">
        <v>166</v>
      </c>
      <c r="E58" s="3" t="s">
        <v>169</v>
      </c>
      <c r="F58" s="3" t="s">
        <v>170</v>
      </c>
      <c r="G58" s="48" t="str">
        <f>HYPERLINK("https://uscode.house.gov/view.xhtml?req=granuleid:USC-prelim-title33-section891h&amp;num=0&amp;edition=prelim", "33 U.S.C. 891h")</f>
        <v>33 U.S.C. 891h</v>
      </c>
      <c r="H58" s="46">
        <v>35703</v>
      </c>
      <c r="I58" s="13">
        <v>1997</v>
      </c>
      <c r="J58" s="16" t="s">
        <v>12</v>
      </c>
      <c r="K58" s="47">
        <v>28000000</v>
      </c>
      <c r="L58" s="3" t="s">
        <v>47</v>
      </c>
      <c r="M58" s="3" t="s">
        <v>148</v>
      </c>
      <c r="N58" s="3" t="s">
        <v>43</v>
      </c>
    </row>
    <row r="59" spans="1:14" x14ac:dyDescent="0.3">
      <c r="A59" s="36" t="s">
        <v>37</v>
      </c>
      <c r="B59" s="13">
        <v>102</v>
      </c>
      <c r="C59" s="48" t="str">
        <f t="shared" si="2"/>
        <v>P.L. 102-567</v>
      </c>
      <c r="D59" s="3" t="s">
        <v>166</v>
      </c>
      <c r="E59" s="3" t="s">
        <v>171</v>
      </c>
      <c r="F59" s="3" t="s">
        <v>172</v>
      </c>
      <c r="G59" s="49"/>
      <c r="H59" s="46">
        <v>34242</v>
      </c>
      <c r="I59" s="13">
        <v>1993</v>
      </c>
      <c r="J59" s="47">
        <v>121183000</v>
      </c>
      <c r="K59" s="47">
        <v>679422000</v>
      </c>
      <c r="L59" s="3" t="s">
        <v>47</v>
      </c>
      <c r="M59" s="3" t="s">
        <v>148</v>
      </c>
      <c r="N59" s="3" t="s">
        <v>43</v>
      </c>
    </row>
    <row r="60" spans="1:14" x14ac:dyDescent="0.3">
      <c r="A60" s="36" t="s">
        <v>37</v>
      </c>
      <c r="B60" s="13">
        <v>102</v>
      </c>
      <c r="C60" s="48" t="str">
        <f t="shared" si="2"/>
        <v>P.L. 102-567</v>
      </c>
      <c r="D60" s="3" t="s">
        <v>166</v>
      </c>
      <c r="E60" s="3" t="s">
        <v>173</v>
      </c>
      <c r="F60" s="3" t="s">
        <v>174</v>
      </c>
      <c r="G60" s="49"/>
      <c r="H60" s="46">
        <v>34242</v>
      </c>
      <c r="I60" s="13">
        <v>1993</v>
      </c>
      <c r="J60" s="47">
        <v>42140000</v>
      </c>
      <c r="K60" s="47">
        <v>251500000</v>
      </c>
      <c r="L60" s="3" t="s">
        <v>135</v>
      </c>
      <c r="M60" s="3" t="s">
        <v>148</v>
      </c>
      <c r="N60" s="3" t="s">
        <v>43</v>
      </c>
    </row>
    <row r="61" spans="1:14" x14ac:dyDescent="0.3">
      <c r="A61" s="36" t="s">
        <v>37</v>
      </c>
      <c r="B61" s="13">
        <v>102</v>
      </c>
      <c r="C61" s="48" t="str">
        <f t="shared" si="2"/>
        <v>P.L. 102-567</v>
      </c>
      <c r="D61" s="3" t="s">
        <v>166</v>
      </c>
      <c r="E61" s="3" t="s">
        <v>175</v>
      </c>
      <c r="F61" s="3" t="s">
        <v>176</v>
      </c>
      <c r="G61" s="49"/>
      <c r="H61" s="46">
        <v>34242</v>
      </c>
      <c r="I61" s="13">
        <v>1993</v>
      </c>
      <c r="J61" s="47">
        <v>11440000</v>
      </c>
      <c r="K61" s="16" t="s">
        <v>62</v>
      </c>
      <c r="L61" s="3" t="s">
        <v>47</v>
      </c>
      <c r="M61" s="3" t="s">
        <v>148</v>
      </c>
      <c r="N61" s="3" t="s">
        <v>43</v>
      </c>
    </row>
    <row r="62" spans="1:14" x14ac:dyDescent="0.3">
      <c r="A62" s="36" t="s">
        <v>37</v>
      </c>
      <c r="B62" s="13">
        <v>102</v>
      </c>
      <c r="C62" s="48" t="str">
        <f t="shared" si="2"/>
        <v>P.L. 102-567</v>
      </c>
      <c r="D62" s="3" t="s">
        <v>166</v>
      </c>
      <c r="E62" s="3" t="s">
        <v>91</v>
      </c>
      <c r="F62" s="3" t="s">
        <v>177</v>
      </c>
      <c r="G62" s="49"/>
      <c r="H62" s="46">
        <v>34242</v>
      </c>
      <c r="I62" s="13">
        <v>1993</v>
      </c>
      <c r="J62" s="47">
        <v>146808000</v>
      </c>
      <c r="K62" s="47">
        <v>582310000</v>
      </c>
      <c r="L62" s="3" t="s">
        <v>47</v>
      </c>
      <c r="M62" s="3" t="s">
        <v>148</v>
      </c>
      <c r="N62" s="3" t="s">
        <v>43</v>
      </c>
    </row>
    <row r="63" spans="1:14" x14ac:dyDescent="0.3">
      <c r="A63" s="36" t="s">
        <v>37</v>
      </c>
      <c r="B63" s="13">
        <v>102</v>
      </c>
      <c r="C63" s="48" t="str">
        <f t="shared" si="2"/>
        <v>P.L. 102-567</v>
      </c>
      <c r="D63" s="3" t="s">
        <v>166</v>
      </c>
      <c r="E63" s="3" t="s">
        <v>178</v>
      </c>
      <c r="F63" s="3" t="s">
        <v>179</v>
      </c>
      <c r="G63" s="49"/>
      <c r="H63" s="46">
        <v>34242</v>
      </c>
      <c r="I63" s="13">
        <v>1993</v>
      </c>
      <c r="J63" s="47">
        <v>10336000</v>
      </c>
      <c r="K63" s="47">
        <v>62177000</v>
      </c>
      <c r="L63" s="3" t="s">
        <v>135</v>
      </c>
      <c r="M63" s="3" t="s">
        <v>148</v>
      </c>
      <c r="N63" s="3" t="s">
        <v>43</v>
      </c>
    </row>
    <row r="64" spans="1:14" x14ac:dyDescent="0.3">
      <c r="A64" s="36" t="s">
        <v>37</v>
      </c>
      <c r="B64" s="13">
        <v>102</v>
      </c>
      <c r="C64" s="48" t="str">
        <f t="shared" si="2"/>
        <v>P.L. 102-567</v>
      </c>
      <c r="D64" s="3" t="s">
        <v>166</v>
      </c>
      <c r="E64" s="3" t="s">
        <v>180</v>
      </c>
      <c r="F64" s="3" t="s">
        <v>181</v>
      </c>
      <c r="G64" s="49"/>
      <c r="H64" s="46">
        <v>34242</v>
      </c>
      <c r="I64" s="13">
        <v>1993</v>
      </c>
      <c r="J64" s="47">
        <v>94500000</v>
      </c>
      <c r="K64" s="47">
        <v>119950000</v>
      </c>
      <c r="L64" s="3" t="s">
        <v>47</v>
      </c>
      <c r="M64" s="3" t="s">
        <v>148</v>
      </c>
      <c r="N64" s="3" t="s">
        <v>43</v>
      </c>
    </row>
    <row r="65" spans="1:14" x14ac:dyDescent="0.3">
      <c r="A65" s="36" t="s">
        <v>37</v>
      </c>
      <c r="B65" s="13">
        <v>102</v>
      </c>
      <c r="C65" s="48" t="str">
        <f t="shared" si="2"/>
        <v>P.L. 102-567</v>
      </c>
      <c r="D65" s="3" t="s">
        <v>166</v>
      </c>
      <c r="E65" s="3" t="s">
        <v>182</v>
      </c>
      <c r="F65" s="3" t="s">
        <v>183</v>
      </c>
      <c r="G65" s="49"/>
      <c r="H65" s="46">
        <v>34242</v>
      </c>
      <c r="I65" s="13">
        <v>1993</v>
      </c>
      <c r="J65" s="47">
        <v>1135000</v>
      </c>
      <c r="K65" s="16" t="s">
        <v>62</v>
      </c>
      <c r="L65" s="3" t="s">
        <v>135</v>
      </c>
      <c r="M65" s="3" t="s">
        <v>148</v>
      </c>
      <c r="N65" s="3" t="s">
        <v>43</v>
      </c>
    </row>
    <row r="66" spans="1:14" x14ac:dyDescent="0.3">
      <c r="A66" s="36" t="s">
        <v>37</v>
      </c>
      <c r="B66" s="13">
        <v>102</v>
      </c>
      <c r="C66" s="48" t="str">
        <f t="shared" si="2"/>
        <v>P.L. 102-567</v>
      </c>
      <c r="D66" s="3" t="s">
        <v>166</v>
      </c>
      <c r="E66" s="3" t="s">
        <v>184</v>
      </c>
      <c r="F66" s="3" t="s">
        <v>185</v>
      </c>
      <c r="G66" s="49"/>
      <c r="H66" s="46">
        <v>34242</v>
      </c>
      <c r="I66" s="13">
        <v>1993</v>
      </c>
      <c r="J66" s="47">
        <v>132034000</v>
      </c>
      <c r="K66" s="16" t="s">
        <v>62</v>
      </c>
      <c r="L66" s="3" t="s">
        <v>135</v>
      </c>
      <c r="M66" s="3" t="s">
        <v>148</v>
      </c>
      <c r="N66" s="3" t="s">
        <v>43</v>
      </c>
    </row>
    <row r="67" spans="1:14" x14ac:dyDescent="0.3">
      <c r="A67" s="36" t="s">
        <v>37</v>
      </c>
      <c r="B67" s="13">
        <v>102</v>
      </c>
      <c r="C67" s="48" t="str">
        <f t="shared" si="2"/>
        <v>P.L. 102-567</v>
      </c>
      <c r="D67" s="3" t="s">
        <v>166</v>
      </c>
      <c r="E67" s="3" t="s">
        <v>186</v>
      </c>
      <c r="F67" s="3" t="s">
        <v>187</v>
      </c>
      <c r="G67" s="49"/>
      <c r="H67" s="46">
        <v>34242</v>
      </c>
      <c r="I67" s="13">
        <v>1993</v>
      </c>
      <c r="J67" s="47">
        <v>103877000</v>
      </c>
      <c r="K67" s="47">
        <v>390566000</v>
      </c>
      <c r="L67" s="3" t="s">
        <v>135</v>
      </c>
      <c r="M67" s="3" t="s">
        <v>148</v>
      </c>
      <c r="N67" s="3" t="s">
        <v>43</v>
      </c>
    </row>
    <row r="68" spans="1:14" x14ac:dyDescent="0.3">
      <c r="A68" s="36" t="s">
        <v>37</v>
      </c>
      <c r="B68" s="13">
        <v>102</v>
      </c>
      <c r="C68" s="48" t="str">
        <f t="shared" si="2"/>
        <v>P.L. 102-567</v>
      </c>
      <c r="D68" s="3" t="s">
        <v>166</v>
      </c>
      <c r="E68" s="3" t="s">
        <v>188</v>
      </c>
      <c r="F68" s="3" t="s">
        <v>189</v>
      </c>
      <c r="G68" s="49"/>
      <c r="H68" s="46">
        <v>34242</v>
      </c>
      <c r="I68" s="13">
        <v>1993</v>
      </c>
      <c r="J68" s="47">
        <v>44781000</v>
      </c>
      <c r="K68" s="47">
        <v>390566000</v>
      </c>
      <c r="L68" s="3" t="s">
        <v>135</v>
      </c>
      <c r="M68" s="3" t="s">
        <v>148</v>
      </c>
      <c r="N68" s="3" t="s">
        <v>43</v>
      </c>
    </row>
    <row r="69" spans="1:14" x14ac:dyDescent="0.3">
      <c r="A69" s="36" t="s">
        <v>37</v>
      </c>
      <c r="B69" s="13">
        <v>102</v>
      </c>
      <c r="C69" s="48" t="str">
        <f t="shared" si="2"/>
        <v>P.L. 102-567</v>
      </c>
      <c r="D69" s="3" t="s">
        <v>166</v>
      </c>
      <c r="E69" s="3" t="s">
        <v>190</v>
      </c>
      <c r="F69" s="3" t="s">
        <v>191</v>
      </c>
      <c r="G69" s="49"/>
      <c r="H69" s="46">
        <v>34242</v>
      </c>
      <c r="I69" s="13">
        <v>1993</v>
      </c>
      <c r="J69" s="47">
        <v>336000000</v>
      </c>
      <c r="K69" s="47">
        <v>1634284000</v>
      </c>
      <c r="L69" s="3" t="s">
        <v>135</v>
      </c>
      <c r="M69" s="3" t="s">
        <v>148</v>
      </c>
      <c r="N69" s="3" t="s">
        <v>43</v>
      </c>
    </row>
    <row r="70" spans="1:14" x14ac:dyDescent="0.3">
      <c r="A70" s="36" t="s">
        <v>37</v>
      </c>
      <c r="B70" s="13">
        <v>102</v>
      </c>
      <c r="C70" s="48" t="str">
        <f t="shared" si="2"/>
        <v>P.L. 102-567</v>
      </c>
      <c r="D70" s="3" t="s">
        <v>166</v>
      </c>
      <c r="E70" s="3" t="s">
        <v>192</v>
      </c>
      <c r="F70" s="3" t="s">
        <v>193</v>
      </c>
      <c r="G70" s="49"/>
      <c r="H70" s="46">
        <v>33877</v>
      </c>
      <c r="I70" s="13">
        <v>1992</v>
      </c>
      <c r="J70" s="47">
        <v>110000000</v>
      </c>
      <c r="K70" s="16" t="s">
        <v>62</v>
      </c>
      <c r="L70" s="3" t="s">
        <v>135</v>
      </c>
      <c r="M70" s="3" t="s">
        <v>148</v>
      </c>
      <c r="N70" s="3" t="s">
        <v>43</v>
      </c>
    </row>
    <row r="71" spans="1:14" x14ac:dyDescent="0.3">
      <c r="A71" s="36" t="s">
        <v>37</v>
      </c>
      <c r="B71" s="13">
        <v>102</v>
      </c>
      <c r="C71" s="48" t="str">
        <f t="shared" si="2"/>
        <v>P.L. 102-567</v>
      </c>
      <c r="D71" s="3" t="s">
        <v>166</v>
      </c>
      <c r="E71" s="3" t="s">
        <v>194</v>
      </c>
      <c r="F71" s="3" t="s">
        <v>195</v>
      </c>
      <c r="G71" s="49"/>
      <c r="H71" s="46">
        <v>33877</v>
      </c>
      <c r="I71" s="13">
        <v>1992</v>
      </c>
      <c r="J71" s="47">
        <v>39596000</v>
      </c>
      <c r="K71" s="47">
        <v>375537000</v>
      </c>
      <c r="L71" s="3" t="s">
        <v>135</v>
      </c>
      <c r="M71" s="3" t="s">
        <v>148</v>
      </c>
      <c r="N71" s="3" t="s">
        <v>43</v>
      </c>
    </row>
    <row r="72" spans="1:14" x14ac:dyDescent="0.3">
      <c r="A72" s="36" t="s">
        <v>37</v>
      </c>
      <c r="B72" s="13">
        <v>102</v>
      </c>
      <c r="C72" s="48" t="str">
        <f>HYPERLINK("https://uscode.house.gov/statutes/pl/102/580.pdf", "P.L. 102-580")</f>
        <v>P.L. 102-580</v>
      </c>
      <c r="D72" s="3" t="s">
        <v>196</v>
      </c>
      <c r="E72" s="3" t="s">
        <v>197</v>
      </c>
      <c r="F72" s="3" t="s">
        <v>198</v>
      </c>
      <c r="G72" s="48" t="str">
        <f>HYPERLINK("https://uscode.house.gov/view.xhtml?req=granuleid:USC-prelim-title33-section1420&amp;num=0&amp;edition=prelim", "33 U.S.C. 1420")</f>
        <v>33 U.S.C. 1420</v>
      </c>
      <c r="H72" s="46">
        <v>35703</v>
      </c>
      <c r="I72" s="13">
        <v>1997</v>
      </c>
      <c r="J72" s="47">
        <v>14000000</v>
      </c>
      <c r="K72" s="16" t="s">
        <v>62</v>
      </c>
      <c r="L72" s="3" t="s">
        <v>109</v>
      </c>
      <c r="M72" s="3" t="s">
        <v>67</v>
      </c>
      <c r="N72" s="3" t="s">
        <v>49</v>
      </c>
    </row>
    <row r="73" spans="1:14" x14ac:dyDescent="0.3">
      <c r="A73" s="36" t="s">
        <v>37</v>
      </c>
      <c r="B73" s="13">
        <v>103</v>
      </c>
      <c r="C73" s="48" t="str">
        <f>HYPERLINK("https://uscode.house.gov/statutes/pl/103/10.pdf", "P.L. 103-10")</f>
        <v>P.L. 103-10</v>
      </c>
      <c r="D73" s="3" t="s">
        <v>199</v>
      </c>
      <c r="F73" s="3" t="s">
        <v>200</v>
      </c>
      <c r="G73" s="49"/>
      <c r="H73" s="46">
        <v>34607</v>
      </c>
      <c r="I73" s="13">
        <v>1994</v>
      </c>
      <c r="J73" s="16" t="s">
        <v>12</v>
      </c>
      <c r="K73" s="16" t="s">
        <v>62</v>
      </c>
      <c r="L73" s="3" t="s">
        <v>80</v>
      </c>
      <c r="M73" s="3" t="s">
        <v>157</v>
      </c>
      <c r="N73" s="3" t="s">
        <v>43</v>
      </c>
    </row>
    <row r="74" spans="1:14" x14ac:dyDescent="0.3">
      <c r="A74" s="36" t="s">
        <v>37</v>
      </c>
      <c r="B74" s="13">
        <v>103</v>
      </c>
      <c r="C74" s="48" t="str">
        <f>HYPERLINK("https://uscode.house.gov/statutes/pl/103/183.pdf", "P.L. 103-183")</f>
        <v>P.L. 103-183</v>
      </c>
      <c r="D74" s="3" t="s">
        <v>201</v>
      </c>
      <c r="E74" s="3" t="s">
        <v>91</v>
      </c>
      <c r="F74" s="3" t="s">
        <v>202</v>
      </c>
      <c r="G74" s="48" t="str">
        <f>HYPERLINK("https://uscode.house.gov/view.xhtml?req=granuleid:USC-prelim-title42-section247c&amp;num=0&amp;edition=prelim", "42 U.S.C. 247c(e)(1)")</f>
        <v>42 U.S.C. 247c(e)(1)</v>
      </c>
      <c r="H74" s="46">
        <v>36068</v>
      </c>
      <c r="I74" s="13">
        <v>1998</v>
      </c>
      <c r="J74" s="16" t="s">
        <v>12</v>
      </c>
      <c r="K74" s="47">
        <v>174310000</v>
      </c>
      <c r="L74" s="3" t="s">
        <v>60</v>
      </c>
      <c r="M74" s="3" t="s">
        <v>71</v>
      </c>
      <c r="N74" s="3" t="s">
        <v>72</v>
      </c>
    </row>
    <row r="75" spans="1:14" x14ac:dyDescent="0.3">
      <c r="A75" s="36" t="s">
        <v>37</v>
      </c>
      <c r="B75" s="13">
        <v>103</v>
      </c>
      <c r="C75" s="48" t="str">
        <f>HYPERLINK("https://uscode.house.gov/statutes/pl/103/183.pdf", "P.L. 103-183")</f>
        <v>P.L. 103-183</v>
      </c>
      <c r="D75" s="3" t="s">
        <v>201</v>
      </c>
      <c r="E75" s="3" t="s">
        <v>180</v>
      </c>
      <c r="F75" s="3" t="s">
        <v>203</v>
      </c>
      <c r="G75" s="48" t="str">
        <f>HYPERLINK("https://uscode.house.gov/view.xhtml?req=granuleid:USC-prelim-title42-section247c-1&amp;num=0&amp;edition=prelim", "42 U.S.C. 247c-1(r)(2)")</f>
        <v>42 U.S.C. 247c-1(r)(2)</v>
      </c>
      <c r="H75" s="46">
        <v>36068</v>
      </c>
      <c r="I75" s="13">
        <v>1998</v>
      </c>
      <c r="J75" s="16" t="s">
        <v>12</v>
      </c>
      <c r="K75" s="16" t="s">
        <v>62</v>
      </c>
      <c r="L75" s="3" t="s">
        <v>60</v>
      </c>
      <c r="M75" s="3" t="s">
        <v>71</v>
      </c>
      <c r="N75" s="3" t="s">
        <v>72</v>
      </c>
    </row>
    <row r="76" spans="1:14" x14ac:dyDescent="0.3">
      <c r="A76" s="36" t="s">
        <v>37</v>
      </c>
      <c r="B76" s="13">
        <v>103</v>
      </c>
      <c r="C76" s="48" t="str">
        <f>HYPERLINK("https://uscode.house.gov/statutes/pl/103/233.pdf", "P.L. 103-233")</f>
        <v>P.L. 103-233</v>
      </c>
      <c r="D76" s="3" t="s">
        <v>204</v>
      </c>
      <c r="F76" s="3" t="s">
        <v>205</v>
      </c>
      <c r="G76" s="49"/>
      <c r="H76" s="46">
        <v>34972</v>
      </c>
      <c r="I76" s="13">
        <v>1995</v>
      </c>
      <c r="J76" s="16" t="s">
        <v>12</v>
      </c>
      <c r="K76" s="16" t="s">
        <v>62</v>
      </c>
      <c r="L76" s="3" t="s">
        <v>156</v>
      </c>
      <c r="M76" s="3" t="s">
        <v>157</v>
      </c>
      <c r="N76" s="3" t="s">
        <v>158</v>
      </c>
    </row>
    <row r="77" spans="1:14" x14ac:dyDescent="0.3">
      <c r="A77" s="36" t="s">
        <v>37</v>
      </c>
      <c r="B77" s="13">
        <v>103</v>
      </c>
      <c r="C77" s="48" t="str">
        <f>HYPERLINK("https://uscode.house.gov/statutes/pl/103/238.pdf", "P.L. 103-238")</f>
        <v>P.L. 103-238</v>
      </c>
      <c r="D77" s="3" t="s">
        <v>206</v>
      </c>
      <c r="E77" s="3" t="s">
        <v>207</v>
      </c>
      <c r="F77" s="3" t="s">
        <v>208</v>
      </c>
      <c r="G77" s="48" t="str">
        <f>HYPERLINK("https://uscode.house.gov/view.xhtml?req=granuleid:USC-prelim-title16-section1384&amp;num=0&amp;edition=prelim", "16 U.S.C. 1384")</f>
        <v>16 U.S.C. 1384</v>
      </c>
      <c r="H77" s="46">
        <v>36433</v>
      </c>
      <c r="I77" s="13">
        <v>1999</v>
      </c>
      <c r="J77" s="47">
        <v>34768000</v>
      </c>
      <c r="K77" s="47">
        <v>175255000</v>
      </c>
      <c r="L77" s="3" t="s">
        <v>47</v>
      </c>
      <c r="M77" s="3" t="s">
        <v>148</v>
      </c>
      <c r="N77" s="3" t="s">
        <v>43</v>
      </c>
    </row>
    <row r="78" spans="1:14" x14ac:dyDescent="0.3">
      <c r="A78" s="36" t="s">
        <v>37</v>
      </c>
      <c r="B78" s="13">
        <v>103</v>
      </c>
      <c r="C78" s="48" t="str">
        <f>HYPERLINK("https://uscode.house.gov/statutes/pl/103/238.pdf", "P.L. 103-238")</f>
        <v>P.L. 103-238</v>
      </c>
      <c r="D78" s="3" t="s">
        <v>206</v>
      </c>
      <c r="E78" s="3" t="s">
        <v>207</v>
      </c>
      <c r="F78" s="3" t="s">
        <v>209</v>
      </c>
      <c r="G78" s="48" t="str">
        <f>HYPERLINK("https://uscode.house.gov/view.xhtml?req=granuleid:USC-prelim-title16-section1384&amp;num=0&amp;edition=prelim", "16 U.S.C. 1384")</f>
        <v>16 U.S.C. 1384</v>
      </c>
      <c r="H78" s="46">
        <v>36433</v>
      </c>
      <c r="I78" s="13">
        <v>1999</v>
      </c>
      <c r="J78" s="47">
        <v>10296000</v>
      </c>
      <c r="K78" s="16" t="s">
        <v>62</v>
      </c>
      <c r="L78" s="3" t="s">
        <v>47</v>
      </c>
      <c r="M78" s="3" t="s">
        <v>148</v>
      </c>
      <c r="N78" s="3" t="s">
        <v>49</v>
      </c>
    </row>
    <row r="79" spans="1:14" x14ac:dyDescent="0.3">
      <c r="A79" s="36" t="s">
        <v>37</v>
      </c>
      <c r="B79" s="13">
        <v>103</v>
      </c>
      <c r="C79" s="48" t="str">
        <f>HYPERLINK("https://uscode.house.gov/statutes/pl/103/238.pdf", "P.L. 103-238")</f>
        <v>P.L. 103-238</v>
      </c>
      <c r="D79" s="3" t="s">
        <v>206</v>
      </c>
      <c r="E79" s="3" t="s">
        <v>210</v>
      </c>
      <c r="F79" s="3" t="s">
        <v>211</v>
      </c>
      <c r="G79" s="48" t="str">
        <f>HYPERLINK("https://uscode.house.gov/view.xhtml?req=granuleid:USC-prelim-title16-section1407&amp;num=0&amp;edition=prelim", "16 U.S.C. 1407")</f>
        <v>16 U.S.C. 1407</v>
      </c>
      <c r="H79" s="46">
        <v>36433</v>
      </c>
      <c r="I79" s="13">
        <v>1999</v>
      </c>
      <c r="J79" s="47">
        <v>1750000</v>
      </c>
      <c r="K79" s="47">
        <v>4500000</v>
      </c>
      <c r="L79" s="3" t="s">
        <v>47</v>
      </c>
      <c r="M79" s="3" t="s">
        <v>148</v>
      </c>
      <c r="N79" s="3" t="s">
        <v>43</v>
      </c>
    </row>
    <row r="80" spans="1:14" x14ac:dyDescent="0.3">
      <c r="A80" s="36" t="s">
        <v>37</v>
      </c>
      <c r="B80" s="13">
        <v>103</v>
      </c>
      <c r="C80" s="48" t="str">
        <f>HYPERLINK("https://uscode.house.gov/statutes/pl/103/322.pdf", "P.L. 103-322")</f>
        <v>P.L. 103-322</v>
      </c>
      <c r="D80" s="3" t="s">
        <v>212</v>
      </c>
      <c r="F80" s="3" t="s">
        <v>213</v>
      </c>
      <c r="G80" s="48" t="str">
        <f>HYPERLINK("https://uscode.house.gov/view.xhtml?req=granuleid:USC-prelim-title34-section10261&amp;num=0&amp;edition=prelim", "34 U.S.C. 10261(a)(1)")</f>
        <v>34 U.S.C. 10261(a)(1)</v>
      </c>
      <c r="H80" s="46">
        <v>34972</v>
      </c>
      <c r="I80" s="13">
        <v>1995</v>
      </c>
      <c r="J80" s="47">
        <v>33000000</v>
      </c>
      <c r="K80" s="47">
        <v>42000000</v>
      </c>
      <c r="L80" s="3" t="s">
        <v>41</v>
      </c>
      <c r="M80" s="3" t="s">
        <v>42</v>
      </c>
      <c r="N80" s="3" t="s">
        <v>43</v>
      </c>
    </row>
    <row r="81" spans="1:14" x14ac:dyDescent="0.3">
      <c r="A81" s="36" t="s">
        <v>37</v>
      </c>
      <c r="B81" s="13">
        <v>103</v>
      </c>
      <c r="C81" s="48" t="str">
        <f>HYPERLINK("https://uscode.house.gov/statutes/pl/103/322.pdf", "P.L. 103-322")</f>
        <v>P.L. 103-322</v>
      </c>
      <c r="D81" s="3" t="s">
        <v>212</v>
      </c>
      <c r="F81" s="3" t="s">
        <v>214</v>
      </c>
      <c r="G81" s="48" t="str">
        <f>HYPERLINK("https://uscode.house.gov/view.xhtml?req=granuleid:USC-prelim-title34-section10261&amp;num=0&amp;edition=prelim", "34 U.S.C. 10261(a)(2)")</f>
        <v>34 U.S.C. 10261(a)(2)</v>
      </c>
      <c r="H81" s="46">
        <v>34972</v>
      </c>
      <c r="I81" s="13">
        <v>1995</v>
      </c>
      <c r="J81" s="47">
        <v>33000000</v>
      </c>
      <c r="K81" s="47">
        <v>35000000</v>
      </c>
      <c r="L81" s="3" t="s">
        <v>41</v>
      </c>
      <c r="M81" s="3" t="s">
        <v>42</v>
      </c>
      <c r="N81" s="3" t="s">
        <v>43</v>
      </c>
    </row>
    <row r="82" spans="1:14" x14ac:dyDescent="0.3">
      <c r="A82" s="36" t="s">
        <v>37</v>
      </c>
      <c r="B82" s="13">
        <v>103</v>
      </c>
      <c r="C82" s="48" t="str">
        <f>HYPERLINK("https://uscode.house.gov/statutes/pl/103/322.pdf", "P.L. 103-322")</f>
        <v>P.L. 103-322</v>
      </c>
      <c r="D82" s="3" t="s">
        <v>212</v>
      </c>
      <c r="F82" s="3" t="s">
        <v>215</v>
      </c>
      <c r="G82" s="48" t="str">
        <f>HYPERLINK("https://uscode.house.gov/view.xhtml?req=granuleid:USC-prelim-title34-section10261&amp;num=0&amp;edition=prelim", "34 U.S.C. 10261(a)(17)")</f>
        <v>34 U.S.C. 10261(a)(17)</v>
      </c>
      <c r="H82" s="46">
        <v>36799</v>
      </c>
      <c r="I82" s="13">
        <v>2000</v>
      </c>
      <c r="J82" s="47">
        <v>72000000</v>
      </c>
      <c r="K82" s="47">
        <v>45000000</v>
      </c>
      <c r="L82" s="3" t="s">
        <v>41</v>
      </c>
      <c r="M82" s="3" t="s">
        <v>42</v>
      </c>
      <c r="N82" s="3" t="s">
        <v>43</v>
      </c>
    </row>
    <row r="83" spans="1:14" x14ac:dyDescent="0.3">
      <c r="A83" s="36" t="s">
        <v>37</v>
      </c>
      <c r="B83" s="13">
        <v>103</v>
      </c>
      <c r="C83" s="48" t="str">
        <f>HYPERLINK("https://uscode.house.gov/statutes/pl/103/325.pdf", "P.L. 103-325")</f>
        <v>P.L. 103-325</v>
      </c>
      <c r="D83" s="3" t="s">
        <v>216</v>
      </c>
      <c r="E83" s="3" t="s">
        <v>217</v>
      </c>
      <c r="F83" s="3" t="s">
        <v>218</v>
      </c>
      <c r="G83" s="48" t="str">
        <f>HYPERLINK("https://uscode.house.gov/view.xhtml?req=granuleid:USC-prelim-title12-section4718&amp;num=0&amp;edition=prelim", "12 U.S.C. 4718")</f>
        <v>12 U.S.C. 4718</v>
      </c>
      <c r="H83" s="46">
        <v>36068</v>
      </c>
      <c r="I83" s="13">
        <v>1998</v>
      </c>
      <c r="J83" s="16" t="s">
        <v>12</v>
      </c>
      <c r="K83" s="47">
        <v>327500000</v>
      </c>
      <c r="L83" s="3" t="s">
        <v>156</v>
      </c>
      <c r="M83" s="3" t="s">
        <v>157</v>
      </c>
      <c r="N83" s="3" t="s">
        <v>55</v>
      </c>
    </row>
    <row r="84" spans="1:14" x14ac:dyDescent="0.3">
      <c r="A84" s="36" t="s">
        <v>37</v>
      </c>
      <c r="B84" s="13">
        <v>103</v>
      </c>
      <c r="C84" s="48" t="str">
        <f>HYPERLINK("https://uscode.house.gov/statutes/pl/103/392.pdf", "P.L. 103-392")</f>
        <v>P.L. 103-392</v>
      </c>
      <c r="D84" s="3" t="s">
        <v>219</v>
      </c>
      <c r="E84" s="3" t="s">
        <v>138</v>
      </c>
      <c r="F84" s="3" t="s">
        <v>220</v>
      </c>
      <c r="G84" s="49"/>
      <c r="H84" s="46">
        <v>35338</v>
      </c>
      <c r="I84" s="13">
        <v>1996</v>
      </c>
      <c r="J84" s="16" t="s">
        <v>12</v>
      </c>
      <c r="K84" s="16" t="s">
        <v>62</v>
      </c>
      <c r="L84" s="3" t="s">
        <v>41</v>
      </c>
      <c r="M84" s="3" t="s">
        <v>42</v>
      </c>
      <c r="N84" s="3" t="s">
        <v>43</v>
      </c>
    </row>
    <row r="85" spans="1:14" x14ac:dyDescent="0.3">
      <c r="A85" s="36" t="s">
        <v>37</v>
      </c>
      <c r="B85" s="13">
        <v>103</v>
      </c>
      <c r="C85" s="48" t="str">
        <f>HYPERLINK("https://uscode.house.gov/statutes/pl/103/419.pdf", "P.L. 103-419")</f>
        <v>P.L. 103-419</v>
      </c>
      <c r="D85" s="3" t="s">
        <v>221</v>
      </c>
      <c r="E85" s="3" t="s">
        <v>222</v>
      </c>
      <c r="F85" s="3" t="s">
        <v>223</v>
      </c>
      <c r="G85" s="48" t="str">
        <f>HYPERLINK("https://uscode.house.gov/view.xhtml?req=granuleid:USC-prelim-title42-section1975c&amp;num=0&amp;edition=prelim", "42 U.S.C. 1975c")</f>
        <v>42 U.S.C. 1975c</v>
      </c>
      <c r="H85" s="46">
        <v>34972</v>
      </c>
      <c r="I85" s="13">
        <v>1995</v>
      </c>
      <c r="J85" s="47">
        <v>9500000</v>
      </c>
      <c r="K85" s="47">
        <v>14350000</v>
      </c>
      <c r="L85" s="3" t="s">
        <v>41</v>
      </c>
      <c r="M85" s="3" t="s">
        <v>42</v>
      </c>
      <c r="N85" s="3" t="s">
        <v>43</v>
      </c>
    </row>
    <row r="86" spans="1:14" x14ac:dyDescent="0.3">
      <c r="A86" s="36" t="s">
        <v>37</v>
      </c>
      <c r="B86" s="13">
        <v>103</v>
      </c>
      <c r="C86" s="48" t="str">
        <f>HYPERLINK("https://uscode.house.gov/statutes/pl/103/432.pdf", "P.L. 103-432")</f>
        <v>P.L. 103-432</v>
      </c>
      <c r="D86" s="3" t="s">
        <v>224</v>
      </c>
      <c r="E86" s="3" t="s">
        <v>225</v>
      </c>
      <c r="F86" s="3" t="s">
        <v>226</v>
      </c>
      <c r="G86" s="48" t="str">
        <f>HYPERLINK("https://uscode.house.gov/view.xhtml?req=granuleid:USC-prelim-title42-section1395b-4&amp;num=0&amp;edition=prelim", "42 U.S.C. 1395b-4(g)")</f>
        <v>42 U.S.C. 1395b-4(g)</v>
      </c>
      <c r="H86" s="46">
        <v>35338</v>
      </c>
      <c r="I86" s="13">
        <v>1996</v>
      </c>
      <c r="J86" s="47">
        <v>10000000</v>
      </c>
      <c r="K86" s="47">
        <v>55242000</v>
      </c>
      <c r="L86" s="3" t="s">
        <v>60</v>
      </c>
      <c r="M86" s="3" t="s">
        <v>71</v>
      </c>
      <c r="N86" s="3" t="s">
        <v>72</v>
      </c>
    </row>
    <row r="87" spans="1:14" x14ac:dyDescent="0.3">
      <c r="A87" s="36" t="s">
        <v>37</v>
      </c>
      <c r="B87" s="13">
        <v>104</v>
      </c>
      <c r="C87" s="48" t="str">
        <f>HYPERLINK("https://uscode.house.gov/statutes/pl/104/4.pdf", "P.L. 104-4")</f>
        <v>P.L. 104-4</v>
      </c>
      <c r="D87" s="3" t="s">
        <v>227</v>
      </c>
      <c r="F87" s="3" t="s">
        <v>228</v>
      </c>
      <c r="G87" s="49"/>
      <c r="H87" s="46">
        <v>37529</v>
      </c>
      <c r="I87" s="13">
        <v>2002</v>
      </c>
      <c r="J87" s="47">
        <v>4500000</v>
      </c>
      <c r="K87" s="16" t="s">
        <v>62</v>
      </c>
      <c r="L87" s="3" t="s">
        <v>229</v>
      </c>
      <c r="M87" s="3" t="s">
        <v>230</v>
      </c>
      <c r="N87" s="3" t="s">
        <v>231</v>
      </c>
    </row>
    <row r="88" spans="1:14" x14ac:dyDescent="0.3">
      <c r="A88" s="36" t="s">
        <v>37</v>
      </c>
      <c r="B88" s="13">
        <v>104</v>
      </c>
      <c r="C88" s="48" t="str">
        <f>HYPERLINK("https://uscode.house.gov/statutes/pl/104/13.pdf", "P.L. 104-13")</f>
        <v>P.L. 104-13</v>
      </c>
      <c r="D88" s="3" t="s">
        <v>232</v>
      </c>
      <c r="F88" s="3" t="s">
        <v>233</v>
      </c>
      <c r="G88" s="49"/>
      <c r="H88" s="46">
        <v>37164</v>
      </c>
      <c r="I88" s="13">
        <v>2001</v>
      </c>
      <c r="J88" s="47">
        <v>8000000</v>
      </c>
      <c r="K88" s="16" t="s">
        <v>62</v>
      </c>
      <c r="L88" s="3" t="s">
        <v>229</v>
      </c>
      <c r="M88" s="3" t="s">
        <v>230</v>
      </c>
      <c r="N88" s="3" t="s">
        <v>55</v>
      </c>
    </row>
    <row r="89" spans="1:14" x14ac:dyDescent="0.3">
      <c r="A89" s="36" t="s">
        <v>37</v>
      </c>
      <c r="B89" s="13">
        <v>104</v>
      </c>
      <c r="C89" s="48" t="str">
        <f>HYPERLINK("https://uscode.house.gov/statutes/pl/104/16.pdf", "P.L. 104-16")</f>
        <v>P.L. 104-16</v>
      </c>
      <c r="D89" s="3" t="s">
        <v>234</v>
      </c>
      <c r="F89" s="3" t="s">
        <v>235</v>
      </c>
      <c r="G89" s="49"/>
      <c r="H89" s="46">
        <v>35703</v>
      </c>
      <c r="I89" s="13">
        <v>1997</v>
      </c>
      <c r="J89" s="47">
        <v>43000000</v>
      </c>
      <c r="K89" s="47">
        <v>54934000</v>
      </c>
      <c r="L89" s="3" t="s">
        <v>47</v>
      </c>
      <c r="M89" s="3" t="s">
        <v>236</v>
      </c>
      <c r="N89" s="3" t="s">
        <v>49</v>
      </c>
    </row>
    <row r="90" spans="1:14" x14ac:dyDescent="0.3">
      <c r="A90" s="36" t="s">
        <v>37</v>
      </c>
      <c r="B90" s="13">
        <v>104</v>
      </c>
      <c r="C90" s="48" t="str">
        <f>HYPERLINK("https://uscode.house.gov/statutes/pl/104/120.pdf", "P.L. 104-120")</f>
        <v>P.L. 104-120</v>
      </c>
      <c r="D90" s="3" t="s">
        <v>237</v>
      </c>
      <c r="F90" s="3" t="s">
        <v>238</v>
      </c>
      <c r="G90" s="49"/>
      <c r="H90" s="46">
        <v>35338</v>
      </c>
      <c r="I90" s="13">
        <v>1996</v>
      </c>
      <c r="J90" s="16" t="s">
        <v>12</v>
      </c>
      <c r="K90" s="47">
        <v>40400000</v>
      </c>
      <c r="L90" s="3" t="s">
        <v>156</v>
      </c>
      <c r="M90" s="3" t="s">
        <v>157</v>
      </c>
      <c r="N90" s="3" t="s">
        <v>158</v>
      </c>
    </row>
    <row r="91" spans="1:14" x14ac:dyDescent="0.3">
      <c r="A91" s="36" t="s">
        <v>37</v>
      </c>
      <c r="B91" s="13">
        <v>104</v>
      </c>
      <c r="C91" s="48" t="str">
        <f>HYPERLINK("https://uscode.house.gov/statutes/pl/104/150.pdf", "P.L. 104-150")</f>
        <v>P.L. 104-150</v>
      </c>
      <c r="D91" s="3" t="s">
        <v>239</v>
      </c>
      <c r="E91" s="3" t="s">
        <v>45</v>
      </c>
      <c r="F91" s="3" t="s">
        <v>240</v>
      </c>
      <c r="G91" s="48" t="str">
        <f>HYPERLINK("https://uscode.house.gov/view.xhtml?req=granuleid:USC-prelim-title16-section1464&amp;num=0&amp;edition=prelim", "16 U.S.C. 1464(a)")</f>
        <v>16 U.S.C. 1464(a)</v>
      </c>
      <c r="H91" s="46">
        <v>36433</v>
      </c>
      <c r="I91" s="13">
        <v>1999</v>
      </c>
      <c r="J91" s="47">
        <v>55300000</v>
      </c>
      <c r="K91" s="47">
        <v>81500000</v>
      </c>
      <c r="L91" s="3" t="s">
        <v>47</v>
      </c>
      <c r="M91" s="3" t="s">
        <v>148</v>
      </c>
      <c r="N91" s="3" t="s">
        <v>43</v>
      </c>
    </row>
    <row r="92" spans="1:14" x14ac:dyDescent="0.3">
      <c r="A92" s="36" t="s">
        <v>37</v>
      </c>
      <c r="B92" s="13">
        <v>104</v>
      </c>
      <c r="C92" s="48" t="str">
        <f t="shared" ref="C92:C105" si="3">HYPERLINK("https://uscode.house.gov/statutes/pl/104/182.pdf", "P.L. 104-182")</f>
        <v>P.L. 104-182</v>
      </c>
      <c r="D92" s="3" t="s">
        <v>241</v>
      </c>
      <c r="E92" s="3" t="s">
        <v>186</v>
      </c>
      <c r="F92" s="3" t="s">
        <v>242</v>
      </c>
      <c r="G92" s="48" t="str">
        <f>HYPERLINK("https://uscode.house.gov/view.xhtml?req=granuleid:USC-prelim-title42-section300g-1&amp;num=0&amp;edition=prelim", "42 U.S.C. 300g-1")</f>
        <v>42 U.S.C. 300g-1</v>
      </c>
      <c r="H92" s="46">
        <v>37894</v>
      </c>
      <c r="I92" s="13">
        <v>2003</v>
      </c>
      <c r="J92" s="47">
        <v>35000000</v>
      </c>
      <c r="K92" s="16" t="s">
        <v>62</v>
      </c>
      <c r="L92" s="3" t="s">
        <v>60</v>
      </c>
      <c r="M92" s="3" t="s">
        <v>67</v>
      </c>
      <c r="N92" s="3" t="s">
        <v>49</v>
      </c>
    </row>
    <row r="93" spans="1:14" x14ac:dyDescent="0.3">
      <c r="A93" s="36" t="s">
        <v>37</v>
      </c>
      <c r="B93" s="13">
        <v>104</v>
      </c>
      <c r="C93" s="48" t="str">
        <f t="shared" si="3"/>
        <v>P.L. 104-182</v>
      </c>
      <c r="D93" s="3" t="s">
        <v>241</v>
      </c>
      <c r="F93" s="3" t="s">
        <v>243</v>
      </c>
      <c r="G93" s="48" t="str">
        <f>HYPERLINK("https://uscode.house.gov/view.xhtml?req=granuleid:USC-prelim-title42-section300g-9&amp;num=0&amp;edition=prelim", "42 U.S.C. 300g-9(f)")</f>
        <v>42 U.S.C. 300g-9(f)</v>
      </c>
      <c r="H93" s="46">
        <v>37894</v>
      </c>
      <c r="I93" s="13">
        <v>2003</v>
      </c>
      <c r="J93" s="47">
        <v>5000000</v>
      </c>
      <c r="K93" s="47">
        <v>30158000</v>
      </c>
      <c r="L93" s="3" t="s">
        <v>60</v>
      </c>
      <c r="M93" s="3" t="s">
        <v>67</v>
      </c>
      <c r="N93" s="3" t="s">
        <v>49</v>
      </c>
    </row>
    <row r="94" spans="1:14" x14ac:dyDescent="0.3">
      <c r="A94" s="36" t="s">
        <v>37</v>
      </c>
      <c r="B94" s="13">
        <v>104</v>
      </c>
      <c r="C94" s="48" t="str">
        <f t="shared" si="3"/>
        <v>P.L. 104-182</v>
      </c>
      <c r="D94" s="3" t="s">
        <v>241</v>
      </c>
      <c r="F94" s="3" t="s">
        <v>244</v>
      </c>
      <c r="G94" s="48" t="str">
        <f>HYPERLINK("https://uscode.house.gov/view.xhtml?req=granuleid:USC-prelim-title42-section300g-8&amp;num=0&amp;edition=prelim", "42 U.S.C. 300g-8")</f>
        <v>42 U.S.C. 300g-8</v>
      </c>
      <c r="H94" s="46">
        <v>37894</v>
      </c>
      <c r="I94" s="13">
        <v>2003</v>
      </c>
      <c r="J94" s="47">
        <v>30000000</v>
      </c>
      <c r="K94" s="47">
        <v>121500000</v>
      </c>
      <c r="L94" s="3" t="s">
        <v>60</v>
      </c>
      <c r="M94" s="3" t="s">
        <v>67</v>
      </c>
      <c r="N94" s="3" t="s">
        <v>49</v>
      </c>
    </row>
    <row r="95" spans="1:14" x14ac:dyDescent="0.3">
      <c r="A95" s="36" t="s">
        <v>37</v>
      </c>
      <c r="B95" s="13">
        <v>104</v>
      </c>
      <c r="C95" s="48" t="str">
        <f t="shared" si="3"/>
        <v>P.L. 104-182</v>
      </c>
      <c r="D95" s="3" t="s">
        <v>241</v>
      </c>
      <c r="E95" s="3" t="s">
        <v>245</v>
      </c>
      <c r="F95" s="3" t="s">
        <v>246</v>
      </c>
      <c r="G95" s="48" t="str">
        <f>HYPERLINK("https://uscode.house.gov/view.xhtml?req=granuleid:USC-prelim-title42-section300h-8&amp;num=0&amp;edition=prelim", "42 U.S.C. 300h-8")</f>
        <v>42 U.S.C. 300h-8</v>
      </c>
      <c r="H95" s="46">
        <v>37894</v>
      </c>
      <c r="I95" s="13">
        <v>2003</v>
      </c>
      <c r="J95" s="47">
        <v>15000000</v>
      </c>
      <c r="K95" s="16" t="s">
        <v>62</v>
      </c>
      <c r="L95" s="3" t="s">
        <v>60</v>
      </c>
      <c r="M95" s="3" t="s">
        <v>67</v>
      </c>
      <c r="N95" s="3" t="s">
        <v>49</v>
      </c>
    </row>
    <row r="96" spans="1:14" x14ac:dyDescent="0.3">
      <c r="A96" s="36" t="s">
        <v>37</v>
      </c>
      <c r="B96" s="13">
        <v>104</v>
      </c>
      <c r="C96" s="48" t="str">
        <f t="shared" si="3"/>
        <v>P.L. 104-182</v>
      </c>
      <c r="D96" s="3" t="s">
        <v>241</v>
      </c>
      <c r="E96" s="3" t="s">
        <v>247</v>
      </c>
      <c r="F96" s="3" t="s">
        <v>248</v>
      </c>
      <c r="G96" s="48" t="str">
        <f>HYPERLINK("https://uscode.house.gov/view.xhtml?req=granuleid:USC-prelim-title42-section300j-16&amp;num=0&amp;edition=prelim", "42 U.S.C. 300j-16(e)")</f>
        <v>42 U.S.C. 300j-16(e)</v>
      </c>
      <c r="H96" s="46">
        <v>36433</v>
      </c>
      <c r="I96" s="13">
        <v>1999</v>
      </c>
      <c r="J96" s="47">
        <v>50000000</v>
      </c>
      <c r="K96" s="47">
        <v>36386000</v>
      </c>
      <c r="L96" s="3" t="s">
        <v>60</v>
      </c>
      <c r="M96" s="3" t="s">
        <v>67</v>
      </c>
      <c r="N96" s="3" t="s">
        <v>49</v>
      </c>
    </row>
    <row r="97" spans="1:14" x14ac:dyDescent="0.3">
      <c r="A97" s="36" t="s">
        <v>37</v>
      </c>
      <c r="B97" s="13">
        <v>104</v>
      </c>
      <c r="C97" s="48" t="str">
        <f t="shared" si="3"/>
        <v>P.L. 104-182</v>
      </c>
      <c r="D97" s="3" t="s">
        <v>241</v>
      </c>
      <c r="E97" s="3" t="s">
        <v>249</v>
      </c>
      <c r="F97" s="3" t="s">
        <v>250</v>
      </c>
      <c r="G97" s="48" t="str">
        <f>HYPERLINK("https://uscode.house.gov/view.xhtml?req=granuleid:USC-prelim-title42-section300j-18&amp;num=0&amp;edition=prelim", "42 U.S.C. 300j-18(c)")</f>
        <v>42 U.S.C. 300j-18(c)</v>
      </c>
      <c r="H97" s="46">
        <v>37894</v>
      </c>
      <c r="I97" s="13">
        <v>2003</v>
      </c>
      <c r="J97" s="47">
        <v>12500000</v>
      </c>
      <c r="K97" s="16" t="s">
        <v>62</v>
      </c>
      <c r="L97" s="3" t="s">
        <v>60</v>
      </c>
      <c r="M97" s="3" t="s">
        <v>67</v>
      </c>
      <c r="N97" s="3" t="s">
        <v>49</v>
      </c>
    </row>
    <row r="98" spans="1:14" x14ac:dyDescent="0.3">
      <c r="A98" s="36" t="s">
        <v>37</v>
      </c>
      <c r="B98" s="13">
        <v>104</v>
      </c>
      <c r="C98" s="48" t="str">
        <f t="shared" si="3"/>
        <v>P.L. 104-182</v>
      </c>
      <c r="D98" s="3" t="s">
        <v>241</v>
      </c>
      <c r="E98" s="3" t="s">
        <v>249</v>
      </c>
      <c r="F98" s="3" t="s">
        <v>251</v>
      </c>
      <c r="G98" s="48" t="str">
        <f>HYPERLINK("https://uscode.house.gov/view.xhtml?req=granuleid:USC-prelim-title42-section300j-18&amp;num=0&amp;edition=prelim", "42 U.S.C. 300j-18(d)")</f>
        <v>42 U.S.C. 300j-18(d)</v>
      </c>
      <c r="H98" s="46">
        <v>37164</v>
      </c>
      <c r="I98" s="13">
        <v>2001</v>
      </c>
      <c r="J98" s="47">
        <v>3000000</v>
      </c>
      <c r="K98" s="16" t="s">
        <v>62</v>
      </c>
      <c r="L98" s="3" t="s">
        <v>60</v>
      </c>
      <c r="M98" s="3" t="s">
        <v>67</v>
      </c>
      <c r="N98" s="3" t="s">
        <v>49</v>
      </c>
    </row>
    <row r="99" spans="1:14" x14ac:dyDescent="0.3">
      <c r="A99" s="36" t="s">
        <v>37</v>
      </c>
      <c r="B99" s="13">
        <v>104</v>
      </c>
      <c r="C99" s="48" t="str">
        <f t="shared" si="3"/>
        <v>P.L. 104-182</v>
      </c>
      <c r="D99" s="3" t="s">
        <v>241</v>
      </c>
      <c r="E99" s="3" t="s">
        <v>171</v>
      </c>
      <c r="F99" s="3" t="s">
        <v>252</v>
      </c>
      <c r="G99" s="49"/>
      <c r="H99" s="46">
        <v>37894</v>
      </c>
      <c r="I99" s="13">
        <v>2003</v>
      </c>
      <c r="J99" s="16" t="s">
        <v>12</v>
      </c>
      <c r="K99" s="16" t="s">
        <v>62</v>
      </c>
      <c r="L99" s="3" t="s">
        <v>60</v>
      </c>
      <c r="M99" s="3" t="s">
        <v>67</v>
      </c>
      <c r="N99" s="3" t="s">
        <v>49</v>
      </c>
    </row>
    <row r="100" spans="1:14" x14ac:dyDescent="0.3">
      <c r="A100" s="36" t="s">
        <v>37</v>
      </c>
      <c r="B100" s="13">
        <v>104</v>
      </c>
      <c r="C100" s="48" t="str">
        <f t="shared" si="3"/>
        <v>P.L. 104-182</v>
      </c>
      <c r="D100" s="3" t="s">
        <v>241</v>
      </c>
      <c r="E100" s="3" t="s">
        <v>91</v>
      </c>
      <c r="F100" s="3" t="s">
        <v>253</v>
      </c>
      <c r="G100" s="48" t="str">
        <f>HYPERLINK("https://uscode.house.gov/view.xhtml?req=granuleid:USC-prelim-title42-section300j-3c&amp;num=0&amp;edition=prelim", "42 U.S.C. 300j-3c")</f>
        <v>42 U.S.C. 300j-3c</v>
      </c>
      <c r="H100" s="46">
        <v>37894</v>
      </c>
      <c r="I100" s="13">
        <v>2003</v>
      </c>
      <c r="J100" s="47">
        <v>25000000</v>
      </c>
      <c r="K100" s="16" t="s">
        <v>62</v>
      </c>
      <c r="L100" s="3" t="s">
        <v>109</v>
      </c>
      <c r="M100" s="3" t="s">
        <v>67</v>
      </c>
      <c r="N100" s="3" t="s">
        <v>49</v>
      </c>
    </row>
    <row r="101" spans="1:14" x14ac:dyDescent="0.3">
      <c r="A101" s="36" t="s">
        <v>37</v>
      </c>
      <c r="B101" s="13">
        <v>104</v>
      </c>
      <c r="C101" s="48" t="str">
        <f t="shared" si="3"/>
        <v>P.L. 104-182</v>
      </c>
      <c r="D101" s="3" t="s">
        <v>241</v>
      </c>
      <c r="E101" s="3" t="s">
        <v>254</v>
      </c>
      <c r="F101" s="3" t="s">
        <v>255</v>
      </c>
      <c r="G101" s="48" t="str">
        <f>HYPERLINK("https://uscode.house.gov/view.xhtml?req=granuleid:USC-prelim-title42-section300j-2&amp;num=0&amp;edition=prelim", "42 U.S.C. 300j-2(b)")</f>
        <v>42 U.S.C. 300j-2(b)</v>
      </c>
      <c r="H101" s="46">
        <v>37894</v>
      </c>
      <c r="I101" s="13">
        <v>2003</v>
      </c>
      <c r="J101" s="47">
        <v>15000000</v>
      </c>
      <c r="K101" s="47">
        <v>13164000</v>
      </c>
      <c r="L101" s="3" t="s">
        <v>60</v>
      </c>
      <c r="M101" s="3" t="s">
        <v>67</v>
      </c>
      <c r="N101" s="3" t="s">
        <v>49</v>
      </c>
    </row>
    <row r="102" spans="1:14" x14ac:dyDescent="0.3">
      <c r="A102" s="36" t="s">
        <v>37</v>
      </c>
      <c r="B102" s="13">
        <v>104</v>
      </c>
      <c r="C102" s="48" t="str">
        <f t="shared" si="3"/>
        <v>P.L. 104-182</v>
      </c>
      <c r="D102" s="3" t="s">
        <v>241</v>
      </c>
      <c r="F102" s="3" t="s">
        <v>256</v>
      </c>
      <c r="G102" s="48" t="str">
        <f>HYPERLINK("https://uscode.house.gov/view.xhtml?req=granuleid:USC-prelim-title42-section300g-9&amp;num=0&amp;edition=prelim", "42 U.S.C. 300g-9(g)")</f>
        <v>42 U.S.C. 300g-9(g)</v>
      </c>
      <c r="H102" s="46">
        <v>37894</v>
      </c>
      <c r="I102" s="13">
        <v>2003</v>
      </c>
      <c r="J102" s="47">
        <v>1500000</v>
      </c>
      <c r="K102" s="16" t="s">
        <v>62</v>
      </c>
      <c r="L102" s="3" t="s">
        <v>109</v>
      </c>
      <c r="M102" s="3" t="s">
        <v>67</v>
      </c>
      <c r="N102" s="3" t="s">
        <v>49</v>
      </c>
    </row>
    <row r="103" spans="1:14" x14ac:dyDescent="0.3">
      <c r="A103" s="36" t="s">
        <v>37</v>
      </c>
      <c r="B103" s="13">
        <v>104</v>
      </c>
      <c r="C103" s="48" t="str">
        <f t="shared" si="3"/>
        <v>P.L. 104-182</v>
      </c>
      <c r="D103" s="3" t="s">
        <v>241</v>
      </c>
      <c r="F103" s="3" t="s">
        <v>257</v>
      </c>
      <c r="G103" s="48" t="str">
        <f>HYPERLINK("https://uscode.house.gov/view.xhtml?req=granuleid:USC-prelim-title42-section300h-6&amp;num=0&amp;edition=prelim", "42 U.S.C. 300h-6(m)")</f>
        <v>42 U.S.C. 300h-6(m)</v>
      </c>
      <c r="H103" s="46">
        <v>37894</v>
      </c>
      <c r="I103" s="13">
        <v>2003</v>
      </c>
      <c r="J103" s="47">
        <v>15000000</v>
      </c>
      <c r="K103" s="16" t="s">
        <v>62</v>
      </c>
      <c r="L103" s="3" t="s">
        <v>109</v>
      </c>
      <c r="M103" s="3" t="s">
        <v>67</v>
      </c>
      <c r="N103" s="3" t="s">
        <v>49</v>
      </c>
    </row>
    <row r="104" spans="1:14" x14ac:dyDescent="0.3">
      <c r="A104" s="36" t="s">
        <v>37</v>
      </c>
      <c r="B104" s="13">
        <v>104</v>
      </c>
      <c r="C104" s="48" t="str">
        <f t="shared" si="3"/>
        <v>P.L. 104-182</v>
      </c>
      <c r="D104" s="3" t="s">
        <v>241</v>
      </c>
      <c r="F104" s="3" t="s">
        <v>258</v>
      </c>
      <c r="G104" s="48" t="str">
        <f>HYPERLINK("https://uscode.house.gov/view.xhtml?req=granuleid:USC-prelim-title42-section300h-7&amp;num=0&amp;edition=prelim", "42 U.S.C. 300h-7(k)")</f>
        <v>42 U.S.C. 300h-7(k)</v>
      </c>
      <c r="H104" s="46">
        <v>37894</v>
      </c>
      <c r="I104" s="13">
        <v>2003</v>
      </c>
      <c r="J104" s="47">
        <v>30000000</v>
      </c>
      <c r="K104" s="16" t="s">
        <v>62</v>
      </c>
      <c r="L104" s="3" t="s">
        <v>109</v>
      </c>
      <c r="M104" s="3" t="s">
        <v>67</v>
      </c>
      <c r="N104" s="3" t="s">
        <v>49</v>
      </c>
    </row>
    <row r="105" spans="1:14" x14ac:dyDescent="0.3">
      <c r="A105" s="36" t="s">
        <v>37</v>
      </c>
      <c r="B105" s="13">
        <v>104</v>
      </c>
      <c r="C105" s="48" t="str">
        <f t="shared" si="3"/>
        <v>P.L. 104-182</v>
      </c>
      <c r="D105" s="3" t="s">
        <v>241</v>
      </c>
      <c r="E105" s="3" t="s">
        <v>259</v>
      </c>
      <c r="F105" s="3" t="s">
        <v>260</v>
      </c>
      <c r="G105" s="48" t="str">
        <f>HYPERLINK("https://uscode.house.gov/view.xhtml?req=granuleid:USC-prelim-title33-section1281&amp;num=0&amp;edition=prelim", "33 U.S.C. 1281")</f>
        <v>33 U.S.C. 1281</v>
      </c>
      <c r="H105" s="46">
        <v>36433</v>
      </c>
      <c r="I105" s="13">
        <v>1999</v>
      </c>
      <c r="J105" s="47">
        <v>25000000</v>
      </c>
      <c r="K105" s="16" t="s">
        <v>62</v>
      </c>
      <c r="L105" s="3" t="s">
        <v>109</v>
      </c>
      <c r="M105" s="3" t="s">
        <v>67</v>
      </c>
      <c r="N105" s="3" t="s">
        <v>49</v>
      </c>
    </row>
    <row r="106" spans="1:14" x14ac:dyDescent="0.3">
      <c r="A106" s="36" t="s">
        <v>37</v>
      </c>
      <c r="B106" s="13">
        <v>104</v>
      </c>
      <c r="C106" s="48" t="str">
        <f>HYPERLINK("https://uscode.house.gov/statutes/pl/104/216.pdf", "P.L. 104-216")</f>
        <v>P.L. 104-216</v>
      </c>
      <c r="D106" s="3" t="s">
        <v>261</v>
      </c>
      <c r="E106" s="3" t="s">
        <v>222</v>
      </c>
      <c r="F106" s="3" t="s">
        <v>262</v>
      </c>
      <c r="G106" s="48" t="str">
        <f>HYPERLINK("https://uscode.house.gov/view.xhtml?req=granuleid:USC-prelim-title15-section57c&amp;num=0&amp;edition=prelim", "15 U.S.C. 57c")</f>
        <v>15 U.S.C. 57c</v>
      </c>
      <c r="H106" s="46">
        <v>36068</v>
      </c>
      <c r="I106" s="13">
        <v>1998</v>
      </c>
      <c r="J106" s="47">
        <v>111000000</v>
      </c>
      <c r="K106" s="47">
        <v>430000000</v>
      </c>
      <c r="L106" s="3" t="s">
        <v>60</v>
      </c>
      <c r="M106" s="3" t="s">
        <v>148</v>
      </c>
      <c r="N106" s="3" t="s">
        <v>55</v>
      </c>
    </row>
    <row r="107" spans="1:14" x14ac:dyDescent="0.3">
      <c r="A107" s="36" t="s">
        <v>37</v>
      </c>
      <c r="B107" s="13">
        <v>104</v>
      </c>
      <c r="C107" s="48" t="str">
        <f>HYPERLINK("https://uscode.house.gov/statutes/pl/104/262.pdf", "P.L. 104-262")</f>
        <v>P.L. 104-262</v>
      </c>
      <c r="D107" s="3" t="s">
        <v>263</v>
      </c>
      <c r="F107" s="3" t="s">
        <v>264</v>
      </c>
      <c r="G107" s="49"/>
      <c r="H107" s="46">
        <v>36068</v>
      </c>
      <c r="I107" s="13">
        <v>1998</v>
      </c>
      <c r="J107" s="47">
        <v>17900000000</v>
      </c>
      <c r="K107" s="47">
        <v>122306000000</v>
      </c>
      <c r="L107" s="3" t="s">
        <v>265</v>
      </c>
      <c r="M107" s="3" t="s">
        <v>266</v>
      </c>
      <c r="N107" s="3" t="s">
        <v>267</v>
      </c>
    </row>
    <row r="108" spans="1:14" x14ac:dyDescent="0.3">
      <c r="A108" s="36" t="s">
        <v>37</v>
      </c>
      <c r="B108" s="13">
        <v>104</v>
      </c>
      <c r="C108" s="48" t="str">
        <f>HYPERLINK("https://uscode.house.gov/statutes/pl/104/262.pdf", "P.L. 104-262")</f>
        <v>P.L. 104-262</v>
      </c>
      <c r="D108" s="3" t="s">
        <v>263</v>
      </c>
      <c r="F108" s="3" t="s">
        <v>268</v>
      </c>
      <c r="G108" s="49"/>
      <c r="H108" s="46">
        <v>37164</v>
      </c>
      <c r="I108" s="13">
        <v>2001</v>
      </c>
      <c r="J108" s="47">
        <v>6250000</v>
      </c>
      <c r="K108" s="16" t="s">
        <v>62</v>
      </c>
      <c r="L108" s="3" t="s">
        <v>265</v>
      </c>
      <c r="M108" s="3" t="s">
        <v>266</v>
      </c>
      <c r="N108" s="3" t="s">
        <v>267</v>
      </c>
    </row>
    <row r="109" spans="1:14" x14ac:dyDescent="0.3">
      <c r="A109" s="36" t="s">
        <v>37</v>
      </c>
      <c r="B109" s="13">
        <v>104</v>
      </c>
      <c r="C109" s="48" t="str">
        <f>HYPERLINK("https://uscode.house.gov/statutes/pl/104/297.pdf", "P.L. 104-297")</f>
        <v>P.L. 104-297</v>
      </c>
      <c r="D109" s="3" t="s">
        <v>269</v>
      </c>
      <c r="E109" s="3" t="s">
        <v>270</v>
      </c>
      <c r="F109" s="3" t="s">
        <v>271</v>
      </c>
      <c r="G109" s="49"/>
      <c r="H109" s="46">
        <v>36799</v>
      </c>
      <c r="I109" s="13">
        <v>2000</v>
      </c>
      <c r="J109" s="47">
        <v>52345000</v>
      </c>
      <c r="K109" s="47">
        <v>203851000</v>
      </c>
      <c r="L109" s="3" t="s">
        <v>47</v>
      </c>
      <c r="M109" s="3" t="s">
        <v>148</v>
      </c>
      <c r="N109" s="3" t="s">
        <v>43</v>
      </c>
    </row>
    <row r="110" spans="1:14" x14ac:dyDescent="0.3">
      <c r="A110" s="36" t="s">
        <v>37</v>
      </c>
      <c r="B110" s="13">
        <v>104</v>
      </c>
      <c r="C110" s="48" t="str">
        <f>HYPERLINK("https://uscode.house.gov/statutes/pl/104/297.pdf", "P.L. 104-297")</f>
        <v>P.L. 104-297</v>
      </c>
      <c r="D110" s="3" t="s">
        <v>269</v>
      </c>
      <c r="E110" s="3" t="s">
        <v>272</v>
      </c>
      <c r="F110" s="3" t="s">
        <v>273</v>
      </c>
      <c r="G110" s="49"/>
      <c r="H110" s="46">
        <v>36799</v>
      </c>
      <c r="I110" s="13">
        <v>2000</v>
      </c>
      <c r="J110" s="47">
        <v>29028000</v>
      </c>
      <c r="K110" s="47">
        <v>276434000</v>
      </c>
      <c r="L110" s="3" t="s">
        <v>47</v>
      </c>
      <c r="M110" s="3" t="s">
        <v>148</v>
      </c>
      <c r="N110" s="3" t="s">
        <v>43</v>
      </c>
    </row>
    <row r="111" spans="1:14" x14ac:dyDescent="0.3">
      <c r="A111" s="36" t="s">
        <v>37</v>
      </c>
      <c r="B111" s="13">
        <v>104</v>
      </c>
      <c r="C111" s="48" t="str">
        <f>HYPERLINK("https://uscode.house.gov/statutes/pl/104/297.pdf", "P.L. 104-297")</f>
        <v>P.L. 104-297</v>
      </c>
      <c r="D111" s="3" t="s">
        <v>269</v>
      </c>
      <c r="E111" s="3" t="s">
        <v>178</v>
      </c>
      <c r="F111" s="3" t="s">
        <v>274</v>
      </c>
      <c r="G111" s="49"/>
      <c r="H111" s="46">
        <v>36799</v>
      </c>
      <c r="I111" s="13">
        <v>2000</v>
      </c>
      <c r="J111" s="47">
        <v>28226000</v>
      </c>
      <c r="K111" s="47">
        <v>18500000</v>
      </c>
      <c r="L111" s="3" t="s">
        <v>47</v>
      </c>
      <c r="M111" s="3" t="s">
        <v>148</v>
      </c>
      <c r="N111" s="3" t="s">
        <v>43</v>
      </c>
    </row>
    <row r="112" spans="1:14" x14ac:dyDescent="0.3">
      <c r="A112" s="36" t="s">
        <v>37</v>
      </c>
      <c r="B112" s="13">
        <v>104</v>
      </c>
      <c r="C112" s="48" t="str">
        <f>HYPERLINK("https://uscode.house.gov/statutes/pl/104/301.pdf", "P.L. 104-301")</f>
        <v>P.L. 104-301</v>
      </c>
      <c r="D112" s="3" t="s">
        <v>275</v>
      </c>
      <c r="E112" s="3" t="s">
        <v>276</v>
      </c>
      <c r="F112" s="3" t="s">
        <v>277</v>
      </c>
      <c r="G112" s="48" t="str">
        <f>HYPERLINK("https://uscode.house.gov/view.xhtml?req=granuleid:USC-prelim-title25-section640d-24&amp;num=0&amp;edition=prelim", "25 U.S.C. 640d-24(a)(8)")</f>
        <v>25 U.S.C. 640d-24(a)(8)</v>
      </c>
      <c r="H112" s="46">
        <v>36799</v>
      </c>
      <c r="I112" s="13">
        <v>2000</v>
      </c>
      <c r="J112" s="47">
        <v>30000000</v>
      </c>
      <c r="K112" s="47">
        <v>3060000</v>
      </c>
      <c r="L112" s="3" t="s">
        <v>47</v>
      </c>
      <c r="M112" s="3" t="s">
        <v>236</v>
      </c>
      <c r="N112" s="3" t="s">
        <v>49</v>
      </c>
    </row>
    <row r="113" spans="1:14" x14ac:dyDescent="0.3">
      <c r="A113" s="36" t="s">
        <v>37</v>
      </c>
      <c r="B113" s="13">
        <v>104</v>
      </c>
      <c r="C113" s="48" t="str">
        <f>HYPERLINK("https://uscode.house.gov/statutes/pl/104/332.pdf", "P.L. 104-332")</f>
        <v>P.L. 104-332</v>
      </c>
      <c r="D113" s="3" t="s">
        <v>278</v>
      </c>
      <c r="F113" s="3" t="s">
        <v>279</v>
      </c>
      <c r="G113" s="48" t="str">
        <f>HYPERLINK("https://uscode.house.gov/view.xhtml?req=granuleid:USC-prelim-title16-section4741&amp;num=0&amp;edition=prelim", "16 U.S.C. 4741")</f>
        <v>16 U.S.C. 4741</v>
      </c>
      <c r="H113" s="46">
        <v>37529</v>
      </c>
      <c r="I113" s="13">
        <v>2002</v>
      </c>
      <c r="J113" s="47">
        <v>27800000</v>
      </c>
      <c r="K113" s="16" t="s">
        <v>62</v>
      </c>
      <c r="L113" s="3" t="s">
        <v>47</v>
      </c>
      <c r="M113" s="3" t="s">
        <v>67</v>
      </c>
      <c r="N113" s="3" t="s">
        <v>49</v>
      </c>
    </row>
    <row r="114" spans="1:14" x14ac:dyDescent="0.3">
      <c r="A114" s="36" t="s">
        <v>37</v>
      </c>
      <c r="B114" s="13">
        <v>104</v>
      </c>
      <c r="C114" s="48" t="str">
        <f>HYPERLINK("https://uscode.house.gov/statutes/pl/104/333.pdf", "P.L. 104-333")</f>
        <v>P.L. 104-333</v>
      </c>
      <c r="D114" s="3" t="s">
        <v>280</v>
      </c>
      <c r="E114" s="3" t="s">
        <v>281</v>
      </c>
      <c r="F114" s="3" t="s">
        <v>282</v>
      </c>
      <c r="G114" s="48" t="str">
        <f>HYPERLINK("https://uscode.house.gov/view.xhtml?req=granuleid:USC-prelim-title43-section1748&amp;num=0&amp;edition=prelim", "43 U.S.C. 1748")</f>
        <v>43 U.S.C. 1748</v>
      </c>
      <c r="H114" s="46">
        <v>37529</v>
      </c>
      <c r="I114" s="13">
        <v>2002</v>
      </c>
      <c r="J114" s="16" t="s">
        <v>12</v>
      </c>
      <c r="K114" s="47">
        <v>1493999000</v>
      </c>
      <c r="L114" s="3" t="s">
        <v>47</v>
      </c>
      <c r="M114" s="3" t="s">
        <v>48</v>
      </c>
      <c r="N114" s="3" t="s">
        <v>49</v>
      </c>
    </row>
    <row r="115" spans="1:14" x14ac:dyDescent="0.3">
      <c r="A115" s="36" t="s">
        <v>37</v>
      </c>
      <c r="B115" s="13">
        <v>104</v>
      </c>
      <c r="C115" s="48" t="str">
        <f>HYPERLINK("https://uscode.house.gov/statutes/pl/104/333.pdf", "P.L. 104-333")</f>
        <v>P.L. 104-333</v>
      </c>
      <c r="D115" s="3" t="s">
        <v>280</v>
      </c>
      <c r="E115" s="3" t="s">
        <v>283</v>
      </c>
      <c r="F115" s="3" t="s">
        <v>284</v>
      </c>
      <c r="G115" s="49"/>
      <c r="H115" s="46">
        <v>37529</v>
      </c>
      <c r="I115" s="13">
        <v>2002</v>
      </c>
      <c r="J115" s="47">
        <v>1000000</v>
      </c>
      <c r="K115" s="47">
        <v>3750000</v>
      </c>
      <c r="L115" s="3" t="s">
        <v>47</v>
      </c>
      <c r="M115" s="3" t="s">
        <v>48</v>
      </c>
      <c r="N115" s="3" t="s">
        <v>49</v>
      </c>
    </row>
    <row r="116" spans="1:14" x14ac:dyDescent="0.3">
      <c r="A116" s="36" t="s">
        <v>37</v>
      </c>
      <c r="B116" s="13">
        <v>105</v>
      </c>
      <c r="C116" s="48" t="str">
        <f>HYPERLINK("https://uscode.house.gov/statutes/pl/105/276.pdf", "P.L. 105-276")</f>
        <v>P.L. 105-276</v>
      </c>
      <c r="D116" s="3" t="s">
        <v>285</v>
      </c>
      <c r="F116" s="3" t="s">
        <v>286</v>
      </c>
      <c r="G116" s="49"/>
      <c r="H116" s="46">
        <v>37894</v>
      </c>
      <c r="I116" s="13">
        <v>2003</v>
      </c>
      <c r="J116" s="16" t="s">
        <v>12</v>
      </c>
      <c r="K116" s="47">
        <v>8514000000</v>
      </c>
      <c r="L116" s="3" t="s">
        <v>156</v>
      </c>
      <c r="M116" s="3" t="s">
        <v>157</v>
      </c>
      <c r="N116" s="3" t="s">
        <v>158</v>
      </c>
    </row>
    <row r="117" spans="1:14" x14ac:dyDescent="0.3">
      <c r="A117" s="36" t="s">
        <v>37</v>
      </c>
      <c r="B117" s="13">
        <v>105</v>
      </c>
      <c r="C117" s="48" t="str">
        <f>HYPERLINK("https://uscode.house.gov/statutes/pl/105/276.pdf", "P.L. 105-276")</f>
        <v>P.L. 105-276</v>
      </c>
      <c r="D117" s="3" t="s">
        <v>285</v>
      </c>
      <c r="F117" s="3" t="s">
        <v>287</v>
      </c>
      <c r="G117" s="49"/>
      <c r="H117" s="46">
        <v>37894</v>
      </c>
      <c r="I117" s="13">
        <v>2003</v>
      </c>
      <c r="J117" s="16" t="s">
        <v>12</v>
      </c>
      <c r="K117" s="47">
        <v>26402000000</v>
      </c>
      <c r="L117" s="3" t="s">
        <v>156</v>
      </c>
      <c r="M117" s="3" t="s">
        <v>157</v>
      </c>
      <c r="N117" s="3" t="s">
        <v>158</v>
      </c>
    </row>
    <row r="118" spans="1:14" x14ac:dyDescent="0.3">
      <c r="A118" s="36" t="s">
        <v>37</v>
      </c>
      <c r="B118" s="13">
        <v>105</v>
      </c>
      <c r="C118" s="48" t="str">
        <f>HYPERLINK("https://uscode.house.gov/statutes/pl/105/276.pdf", "P.L. 105-276")</f>
        <v>P.L. 105-276</v>
      </c>
      <c r="D118" s="3" t="s">
        <v>285</v>
      </c>
      <c r="F118" s="3" t="s">
        <v>288</v>
      </c>
      <c r="G118" s="49"/>
      <c r="H118" s="46">
        <v>37894</v>
      </c>
      <c r="I118" s="13">
        <v>2003</v>
      </c>
      <c r="J118" s="16" t="s">
        <v>12</v>
      </c>
      <c r="K118" s="16" t="s">
        <v>62</v>
      </c>
      <c r="L118" s="3" t="s">
        <v>156</v>
      </c>
      <c r="M118" s="3" t="s">
        <v>157</v>
      </c>
      <c r="N118" s="3" t="s">
        <v>158</v>
      </c>
    </row>
    <row r="119" spans="1:14" x14ac:dyDescent="0.3">
      <c r="A119" s="36" t="s">
        <v>37</v>
      </c>
      <c r="B119" s="13">
        <v>105</v>
      </c>
      <c r="C119" s="48" t="str">
        <f>HYPERLINK("https://uscode.house.gov/statutes/pl/105/361.pdf", "P.L. 105-361")</f>
        <v>P.L. 105-361</v>
      </c>
      <c r="D119" s="3" t="s">
        <v>295</v>
      </c>
      <c r="E119" s="3" t="s">
        <v>296</v>
      </c>
      <c r="F119" s="3" t="s">
        <v>297</v>
      </c>
      <c r="G119" s="48" t="str">
        <f>HYPERLINK("https://uscode.house.gov/view.xhtml?req=granuleid:USC-prelim-title42-section2991b-1&amp;num=0&amp;edition=prelim", "42 U.S.C. 2991b-1(f)")</f>
        <v>42 U.S.C. 2991b-1(f)</v>
      </c>
      <c r="H119" s="46">
        <v>37164</v>
      </c>
      <c r="I119" s="13">
        <v>2001</v>
      </c>
      <c r="J119" s="47">
        <v>1000000</v>
      </c>
      <c r="K119" s="16" t="s">
        <v>62</v>
      </c>
      <c r="L119" s="3" t="s">
        <v>130</v>
      </c>
      <c r="M119" s="3" t="s">
        <v>236</v>
      </c>
      <c r="N119" s="3" t="s">
        <v>72</v>
      </c>
    </row>
    <row r="120" spans="1:14" x14ac:dyDescent="0.3">
      <c r="A120" s="36" t="s">
        <v>37</v>
      </c>
      <c r="B120" s="13">
        <v>105</v>
      </c>
      <c r="C120" s="48" t="str">
        <f>HYPERLINK("https://uscode.house.gov/statutes/pl/105/285.pdf", "P.L. 105-285")</f>
        <v>P.L. 105-285</v>
      </c>
      <c r="D120" s="3" t="s">
        <v>289</v>
      </c>
      <c r="F120" s="3" t="s">
        <v>291</v>
      </c>
      <c r="G120" s="48" t="str">
        <f>HYPERLINK("https://uscode.house.gov/view.xhtml?req=granuleid:USC-prelim-title42-section604&amp;num=0&amp;edition=prelim", "42 U.S.C. 604(note)")</f>
        <v>42 U.S.C. 604(note)</v>
      </c>
      <c r="H120" s="46">
        <v>37894</v>
      </c>
      <c r="I120" s="13">
        <v>2003</v>
      </c>
      <c r="J120" s="16" t="s">
        <v>12</v>
      </c>
      <c r="K120" s="16" t="s">
        <v>62</v>
      </c>
      <c r="L120" s="3" t="s">
        <v>292</v>
      </c>
      <c r="M120" s="3" t="s">
        <v>71</v>
      </c>
      <c r="N120" s="3" t="s">
        <v>72</v>
      </c>
    </row>
    <row r="121" spans="1:14" x14ac:dyDescent="0.3">
      <c r="A121" s="36" t="s">
        <v>37</v>
      </c>
      <c r="B121" s="13">
        <v>105</v>
      </c>
      <c r="C121" s="48" t="str">
        <f>HYPERLINK("https://uscode.house.gov/statutes/pl/105/340.pdf", "P.L. 105-340")</f>
        <v>P.L. 105-340</v>
      </c>
      <c r="D121" s="3" t="s">
        <v>293</v>
      </c>
      <c r="E121" s="3" t="s">
        <v>173</v>
      </c>
      <c r="F121" s="3" t="s">
        <v>294</v>
      </c>
      <c r="G121" s="48" t="str">
        <f>HYPERLINK("https://uscode.house.gov/view.xhtml?req=granuleid:USC-prelim-title42-section280e-4&amp;num=0&amp;edition=prelim", "42 U.S.C. 280e-4")</f>
        <v>42 U.S.C. 280e-4</v>
      </c>
      <c r="H121" s="46">
        <v>37894</v>
      </c>
      <c r="I121" s="13">
        <v>2003</v>
      </c>
      <c r="J121" s="16" t="s">
        <v>12</v>
      </c>
      <c r="K121" s="47">
        <v>53440000</v>
      </c>
      <c r="L121" s="3" t="s">
        <v>60</v>
      </c>
      <c r="M121" s="3" t="s">
        <v>71</v>
      </c>
      <c r="N121" s="3" t="s">
        <v>72</v>
      </c>
    </row>
    <row r="122" spans="1:14" x14ac:dyDescent="0.3">
      <c r="A122" s="36" t="s">
        <v>37</v>
      </c>
      <c r="B122" s="13">
        <v>105</v>
      </c>
      <c r="C122" s="48" t="str">
        <f>HYPERLINK("https://uscode.house.gov/statutes/pl/105/285.pdf", "P.L. 105-285")</f>
        <v>P.L. 105-285</v>
      </c>
      <c r="D122" s="3" t="s">
        <v>289</v>
      </c>
      <c r="F122" s="3" t="s">
        <v>290</v>
      </c>
      <c r="G122" s="48" t="str">
        <f>HYPERLINK("https://uscode.house.gov/view.xhtml?req=granuleid:USC-prelim-title42-section9903&amp;num=0&amp;edition=prelim", "42 U.S.C. 9903")</f>
        <v>42 U.S.C. 9903</v>
      </c>
      <c r="H122" s="46">
        <v>37894</v>
      </c>
      <c r="I122" s="13">
        <v>2003</v>
      </c>
      <c r="J122" s="16" t="s">
        <v>12</v>
      </c>
      <c r="K122" s="47">
        <v>795000000</v>
      </c>
      <c r="L122" s="3" t="s">
        <v>130</v>
      </c>
      <c r="M122" s="3" t="s">
        <v>71</v>
      </c>
      <c r="N122" s="3" t="s">
        <v>72</v>
      </c>
    </row>
    <row r="123" spans="1:14" x14ac:dyDescent="0.3">
      <c r="A123" s="36" t="s">
        <v>37</v>
      </c>
      <c r="B123" s="13">
        <v>105</v>
      </c>
      <c r="C123" s="48" t="str">
        <f>HYPERLINK("https://uscode.house.gov/statutes/pl/105/392.pdf", "P.L. 105-392")</f>
        <v>P.L. 105-392</v>
      </c>
      <c r="D123" s="3" t="s">
        <v>298</v>
      </c>
      <c r="E123" s="3" t="s">
        <v>171</v>
      </c>
      <c r="F123" s="3" t="s">
        <v>299</v>
      </c>
      <c r="G123" s="48" t="str">
        <f>HYPERLINK("https://uscode.house.gov/view.xhtml?req=granuleid:USC-prelim-title42-section242k&amp;num=0&amp;edition=prelim", "42 U.S.C. 242k")</f>
        <v>42 U.S.C. 242k</v>
      </c>
      <c r="H123" s="46">
        <v>37894</v>
      </c>
      <c r="I123" s="13">
        <v>2003</v>
      </c>
      <c r="J123" s="16" t="s">
        <v>12</v>
      </c>
      <c r="K123" s="47">
        <v>187397000</v>
      </c>
      <c r="L123" s="3" t="s">
        <v>60</v>
      </c>
      <c r="M123" s="3" t="s">
        <v>71</v>
      </c>
      <c r="N123" s="3" t="s">
        <v>72</v>
      </c>
    </row>
    <row r="124" spans="1:14" x14ac:dyDescent="0.3">
      <c r="A124" s="36" t="s">
        <v>37</v>
      </c>
      <c r="B124" s="13">
        <v>105</v>
      </c>
      <c r="C124" s="48" t="str">
        <f>HYPERLINK("https://uscode.house.gov/statutes/pl/105/392.pdf", "P.L. 105-392")</f>
        <v>P.L. 105-392</v>
      </c>
      <c r="D124" s="3" t="s">
        <v>298</v>
      </c>
      <c r="E124" s="3" t="s">
        <v>93</v>
      </c>
      <c r="F124" s="3" t="s">
        <v>300</v>
      </c>
      <c r="G124" s="48" t="str">
        <f>HYPERLINK("https://uscode.house.gov/view.xhtml?req=granuleid:USC-prelim-title42-section247b-7&amp;num=0&amp;edition=prelim", "42 U.S.C. 247b-7(c)(1)")</f>
        <v>42 U.S.C. 247b-7(c)(1)</v>
      </c>
      <c r="H124" s="46">
        <v>37529</v>
      </c>
      <c r="I124" s="13">
        <v>2002</v>
      </c>
      <c r="J124" s="16" t="s">
        <v>12</v>
      </c>
      <c r="K124" s="16" t="s">
        <v>62</v>
      </c>
      <c r="L124" s="3" t="s">
        <v>60</v>
      </c>
      <c r="M124" s="3" t="s">
        <v>71</v>
      </c>
      <c r="N124" s="3" t="s">
        <v>72</v>
      </c>
    </row>
    <row r="125" spans="1:14" x14ac:dyDescent="0.3">
      <c r="A125" s="36" t="s">
        <v>37</v>
      </c>
      <c r="B125" s="13">
        <v>106</v>
      </c>
      <c r="C125" s="48" t="str">
        <f>HYPERLINK("https://uscode.house.gov/statutes/pl/106/30.pdf", "P.L. 106-30")</f>
        <v>P.L. 106-30</v>
      </c>
      <c r="D125" s="3" t="s">
        <v>301</v>
      </c>
      <c r="F125" s="3" t="s">
        <v>302</v>
      </c>
      <c r="G125" s="48" t="str">
        <f>HYPERLINK("https://uscode.house.gov/view.xhtml?req=granuleid:USC-prelim-title22-section2502&amp;num=0&amp;edition=prelim", "22 U.S.C. 2502")</f>
        <v>22 U.S.C. 2502</v>
      </c>
      <c r="H125" s="46">
        <v>37894</v>
      </c>
      <c r="I125" s="13">
        <v>2003</v>
      </c>
      <c r="J125" s="47">
        <v>365000000</v>
      </c>
      <c r="K125" s="47">
        <v>430500000</v>
      </c>
      <c r="L125" s="3" t="s">
        <v>80</v>
      </c>
      <c r="M125" s="3" t="s">
        <v>81</v>
      </c>
      <c r="N125" s="3" t="s">
        <v>82</v>
      </c>
    </row>
    <row r="126" spans="1:14" x14ac:dyDescent="0.3">
      <c r="A126" s="36" t="s">
        <v>37</v>
      </c>
      <c r="B126" s="13">
        <v>106</v>
      </c>
      <c r="C126" s="48" t="str">
        <f>HYPERLINK("https://uscode.house.gov/statutes/pl/106/35.pdf", "P.L. 106-35")</f>
        <v>P.L. 106-35</v>
      </c>
      <c r="D126" s="3" t="s">
        <v>303</v>
      </c>
      <c r="F126" s="3" t="s">
        <v>304</v>
      </c>
      <c r="G126" s="49"/>
      <c r="H126" s="46">
        <v>36433</v>
      </c>
      <c r="I126" s="13">
        <v>1999</v>
      </c>
      <c r="J126" s="16" t="s">
        <v>12</v>
      </c>
      <c r="K126" s="47">
        <v>1766000000</v>
      </c>
      <c r="L126" s="3" t="s">
        <v>80</v>
      </c>
      <c r="M126" s="3" t="s">
        <v>81</v>
      </c>
      <c r="N126" s="3" t="s">
        <v>82</v>
      </c>
    </row>
    <row r="127" spans="1:14" x14ac:dyDescent="0.3">
      <c r="A127" s="36" t="s">
        <v>37</v>
      </c>
      <c r="B127" s="13">
        <v>106</v>
      </c>
      <c r="C127" s="48" t="str">
        <f>HYPERLINK("https://uscode.house.gov/statutes/pl/106/74.pdf", "P.L. 106-74")</f>
        <v>P.L. 106-74</v>
      </c>
      <c r="D127" s="3" t="s">
        <v>305</v>
      </c>
      <c r="F127" s="3" t="s">
        <v>306</v>
      </c>
      <c r="G127" s="49"/>
      <c r="H127" s="46">
        <v>36799</v>
      </c>
      <c r="I127" s="13">
        <v>2000</v>
      </c>
      <c r="J127" s="16" t="s">
        <v>12</v>
      </c>
      <c r="K127" s="16" t="s">
        <v>62</v>
      </c>
      <c r="L127" s="3" t="s">
        <v>156</v>
      </c>
      <c r="M127" s="3" t="s">
        <v>157</v>
      </c>
      <c r="N127" s="3" t="s">
        <v>158</v>
      </c>
    </row>
    <row r="128" spans="1:14" x14ac:dyDescent="0.3">
      <c r="A128" s="36" t="s">
        <v>37</v>
      </c>
      <c r="B128" s="13">
        <v>106</v>
      </c>
      <c r="C128" s="48" t="str">
        <f>HYPERLINK("https://uscode.house.gov/statutes/pl/106/74.pdf", "P.L. 106-74")</f>
        <v>P.L. 106-74</v>
      </c>
      <c r="D128" s="3" t="s">
        <v>305</v>
      </c>
      <c r="F128" s="3" t="s">
        <v>307</v>
      </c>
      <c r="G128" s="49"/>
      <c r="H128" s="46">
        <v>38260</v>
      </c>
      <c r="I128" s="13">
        <v>2004</v>
      </c>
      <c r="J128" s="16" t="s">
        <v>12</v>
      </c>
      <c r="K128" s="16" t="s">
        <v>62</v>
      </c>
      <c r="L128" s="3" t="s">
        <v>156</v>
      </c>
      <c r="M128" s="3" t="s">
        <v>157</v>
      </c>
      <c r="N128" s="3" t="s">
        <v>158</v>
      </c>
    </row>
    <row r="129" spans="1:14" x14ac:dyDescent="0.3">
      <c r="A129" s="36" t="s">
        <v>37</v>
      </c>
      <c r="B129" s="13">
        <v>106</v>
      </c>
      <c r="C129" s="48" t="str">
        <f>HYPERLINK("https://uscode.house.gov/statutes/pl/106/104.pdf", "P.L. 106-104")</f>
        <v>P.L. 106-104</v>
      </c>
      <c r="D129" s="3" t="s">
        <v>308</v>
      </c>
      <c r="E129" s="3" t="s">
        <v>296</v>
      </c>
      <c r="F129" s="3" t="s">
        <v>309</v>
      </c>
      <c r="G129" s="48" t="str">
        <f>HYPERLINK("https://uscode.house.gov/view.xhtml?req=granuleid:USC-prelim-title8-section1524&amp;num=0&amp;edition=prelim", "8 U.S.C. 1524(a)")</f>
        <v>8 U.S.C. 1524(a)</v>
      </c>
      <c r="H129" s="46">
        <v>37529</v>
      </c>
      <c r="I129" s="13">
        <v>2002</v>
      </c>
      <c r="J129" s="16" t="s">
        <v>12</v>
      </c>
      <c r="K129" s="47">
        <v>10943214000</v>
      </c>
      <c r="L129" s="3" t="s">
        <v>41</v>
      </c>
      <c r="M129" s="3" t="s">
        <v>42</v>
      </c>
      <c r="N129" s="3" t="s">
        <v>72</v>
      </c>
    </row>
    <row r="130" spans="1:14" x14ac:dyDescent="0.3">
      <c r="A130" s="36" t="s">
        <v>37</v>
      </c>
      <c r="B130" s="13">
        <v>106</v>
      </c>
      <c r="C130" s="48" t="str">
        <f>HYPERLINK("https://uscode.house.gov/statutes/pl/106/129.pdf", "P.L. 106-129")</f>
        <v>P.L. 106-129</v>
      </c>
      <c r="D130" s="3" t="s">
        <v>310</v>
      </c>
      <c r="F130" s="3" t="s">
        <v>311</v>
      </c>
      <c r="G130" s="48" t="str">
        <f>HYPERLINK("https://uscode.house.gov/view.xhtml?req=granuleid:USC-prelim-title42-section299c-6&amp;num=0&amp;edition=prelim", "42 U.S.C. 299c-6")</f>
        <v>42 U.S.C. 299c-6</v>
      </c>
      <c r="H130" s="46">
        <v>38625</v>
      </c>
      <c r="I130" s="13">
        <v>2005</v>
      </c>
      <c r="J130" s="16" t="s">
        <v>12</v>
      </c>
      <c r="K130" s="47">
        <v>373500000</v>
      </c>
      <c r="L130" s="3" t="s">
        <v>60</v>
      </c>
      <c r="M130" s="3" t="s">
        <v>71</v>
      </c>
      <c r="N130" s="3" t="s">
        <v>72</v>
      </c>
    </row>
    <row r="131" spans="1:14" x14ac:dyDescent="0.3">
      <c r="A131" s="36" t="s">
        <v>37</v>
      </c>
      <c r="B131" s="13">
        <v>106</v>
      </c>
      <c r="C131" s="48" t="str">
        <f>HYPERLINK("https://uscode.house.gov/statutes/pl/106/284.pdf", "P.L. 106-284")</f>
        <v>P.L. 106-284</v>
      </c>
      <c r="D131" s="3" t="s">
        <v>312</v>
      </c>
      <c r="E131" s="3" t="s">
        <v>45</v>
      </c>
      <c r="F131" s="3" t="s">
        <v>313</v>
      </c>
      <c r="G131" s="48" t="str">
        <f>HYPERLINK("https://uscode.house.gov/view.xhtml?req=granuleid:USC-prelim-title33-section1346&amp;num=0&amp;edition=prelim", "33 U.S.C. 1346(i)")</f>
        <v>33 U.S.C. 1346(i)</v>
      </c>
      <c r="H131" s="46">
        <v>38625</v>
      </c>
      <c r="I131" s="13">
        <v>2005</v>
      </c>
      <c r="J131" s="47">
        <v>30000000</v>
      </c>
      <c r="K131" s="47">
        <v>10619000</v>
      </c>
      <c r="L131" s="3" t="s">
        <v>109</v>
      </c>
      <c r="M131" s="3" t="s">
        <v>67</v>
      </c>
      <c r="N131" s="3" t="s">
        <v>49</v>
      </c>
    </row>
    <row r="132" spans="1:14" x14ac:dyDescent="0.3">
      <c r="A132" s="36" t="s">
        <v>37</v>
      </c>
      <c r="B132" s="13">
        <v>106</v>
      </c>
      <c r="C132" s="48" t="str">
        <f>HYPERLINK("https://uscode.house.gov/statutes/pl/106/284.pdf", "P.L. 106-284")</f>
        <v>P.L. 106-284</v>
      </c>
      <c r="D132" s="3" t="s">
        <v>312</v>
      </c>
      <c r="E132" s="3" t="s">
        <v>149</v>
      </c>
      <c r="F132" s="3" t="s">
        <v>314</v>
      </c>
      <c r="G132" s="49"/>
      <c r="H132" s="46">
        <v>38625</v>
      </c>
      <c r="I132" s="13">
        <v>2005</v>
      </c>
      <c r="J132" s="16" t="s">
        <v>12</v>
      </c>
      <c r="K132" s="16" t="s">
        <v>62</v>
      </c>
      <c r="L132" s="3" t="s">
        <v>109</v>
      </c>
      <c r="M132" s="3" t="s">
        <v>67</v>
      </c>
      <c r="N132" s="3" t="s">
        <v>49</v>
      </c>
    </row>
    <row r="133" spans="1:14" x14ac:dyDescent="0.3">
      <c r="A133" s="36" t="s">
        <v>37</v>
      </c>
      <c r="B133" s="13">
        <v>106</v>
      </c>
      <c r="C133" s="48" t="str">
        <f>HYPERLINK("https://uscode.house.gov/statutes/pl/106/291.pdf", "P.L. 106-291")</f>
        <v>P.L. 106-291</v>
      </c>
      <c r="D133" s="3" t="s">
        <v>315</v>
      </c>
      <c r="E133" s="3" t="s">
        <v>316</v>
      </c>
      <c r="F133" s="3" t="s">
        <v>317</v>
      </c>
      <c r="G133" s="48" t="str">
        <f>HYPERLINK("https://uscode.house.gov/view.xhtml?req=granuleid:USC-prelim-title54-section320101&amp;num=0&amp;edition=prelim", "54 U.S.C. 320101(note)")</f>
        <v>54 U.S.C. 320101(note)</v>
      </c>
      <c r="H133" s="46">
        <v>40451</v>
      </c>
      <c r="I133" s="13">
        <v>2010</v>
      </c>
      <c r="J133" s="47">
        <v>3000000</v>
      </c>
      <c r="K133" s="16" t="s">
        <v>62</v>
      </c>
      <c r="L133" s="3" t="s">
        <v>47</v>
      </c>
      <c r="M133" s="3" t="s">
        <v>67</v>
      </c>
      <c r="N133" s="3" t="s">
        <v>49</v>
      </c>
    </row>
    <row r="134" spans="1:14" x14ac:dyDescent="0.3">
      <c r="A134" s="36" t="s">
        <v>37</v>
      </c>
      <c r="B134" s="13">
        <v>106</v>
      </c>
      <c r="C134" s="48" t="str">
        <f t="shared" ref="C134:C155" si="4">HYPERLINK("https://uscode.house.gov/statutes/pl/106/310.pdf", "P.L. 106-310")</f>
        <v>P.L. 106-310</v>
      </c>
      <c r="D134" s="3" t="s">
        <v>318</v>
      </c>
      <c r="E134" s="3" t="s">
        <v>91</v>
      </c>
      <c r="F134" s="3" t="s">
        <v>319</v>
      </c>
      <c r="G134" s="48" t="str">
        <f>HYPERLINK("https://uscode.house.gov/view.xhtml?req=granuleid:USC-prelim-title42-section247b-9&amp;num=0&amp;edition=prelim", "42 U.S.C. 247b-9")</f>
        <v>42 U.S.C. 247b-9</v>
      </c>
      <c r="H134" s="46">
        <v>38625</v>
      </c>
      <c r="I134" s="13">
        <v>2005</v>
      </c>
      <c r="J134" s="16" t="s">
        <v>12</v>
      </c>
      <c r="K134" s="16" t="s">
        <v>62</v>
      </c>
      <c r="L134" s="3" t="s">
        <v>60</v>
      </c>
      <c r="M134" s="3" t="s">
        <v>71</v>
      </c>
      <c r="N134" s="3" t="s">
        <v>72</v>
      </c>
    </row>
    <row r="135" spans="1:14" x14ac:dyDescent="0.3">
      <c r="A135" s="36" t="s">
        <v>37</v>
      </c>
      <c r="B135" s="13">
        <v>106</v>
      </c>
      <c r="C135" s="48" t="str">
        <f t="shared" si="4"/>
        <v>P.L. 106-310</v>
      </c>
      <c r="D135" s="3" t="s">
        <v>318</v>
      </c>
      <c r="E135" s="3" t="s">
        <v>320</v>
      </c>
      <c r="F135" s="3" t="s">
        <v>321</v>
      </c>
      <c r="G135" s="48" t="str">
        <f>HYPERLINK("https://uscode.house.gov/view.xhtml?req=granuleid:USC-prelim-title42-section280h&amp;num=0&amp;edition=prelim", "42 U.S.C. 280h")</f>
        <v>42 U.S.C. 280h</v>
      </c>
      <c r="H135" s="46">
        <v>38625</v>
      </c>
      <c r="I135" s="13">
        <v>2005</v>
      </c>
      <c r="J135" s="16" t="s">
        <v>12</v>
      </c>
      <c r="K135" s="16" t="s">
        <v>62</v>
      </c>
      <c r="L135" s="3" t="s">
        <v>60</v>
      </c>
      <c r="M135" s="3" t="s">
        <v>71</v>
      </c>
      <c r="N135" s="3" t="s">
        <v>72</v>
      </c>
    </row>
    <row r="136" spans="1:14" x14ac:dyDescent="0.3">
      <c r="A136" s="36" t="s">
        <v>37</v>
      </c>
      <c r="B136" s="13">
        <v>106</v>
      </c>
      <c r="C136" s="48" t="str">
        <f t="shared" si="4"/>
        <v>P.L. 106-310</v>
      </c>
      <c r="D136" s="3" t="s">
        <v>318</v>
      </c>
      <c r="E136" s="3" t="s">
        <v>322</v>
      </c>
      <c r="F136" s="3" t="s">
        <v>323</v>
      </c>
      <c r="G136" s="48" t="str">
        <f>HYPERLINK("https://uscode.house.gov/view.xhtml?req=granuleid:USC-prelim-title42-section247b-1&amp;num=0&amp;edition=prelim", "42 U.S.C. 247b-1(note)")</f>
        <v>42 U.S.C. 247b-1(note)</v>
      </c>
      <c r="H136" s="46">
        <v>38625</v>
      </c>
      <c r="I136" s="13">
        <v>2005</v>
      </c>
      <c r="J136" s="16" t="s">
        <v>12</v>
      </c>
      <c r="K136" s="47">
        <v>51000000</v>
      </c>
      <c r="L136" s="3" t="s">
        <v>60</v>
      </c>
      <c r="M136" s="3" t="s">
        <v>71</v>
      </c>
      <c r="N136" s="3" t="s">
        <v>72</v>
      </c>
    </row>
    <row r="137" spans="1:14" x14ac:dyDescent="0.3">
      <c r="A137" s="36" t="s">
        <v>37</v>
      </c>
      <c r="B137" s="13">
        <v>106</v>
      </c>
      <c r="C137" s="48" t="str">
        <f t="shared" si="4"/>
        <v>P.L. 106-310</v>
      </c>
      <c r="D137" s="3" t="s">
        <v>318</v>
      </c>
      <c r="E137" s="3" t="s">
        <v>324</v>
      </c>
      <c r="F137" s="3" t="s">
        <v>325</v>
      </c>
      <c r="G137" s="48" t="str">
        <f>HYPERLINK("https://uscode.house.gov/view.xhtml?req=granuleid:USC-prelim-title42-section280g&amp;num=0&amp;edition=prelim", "42 U.S.C. 280g")</f>
        <v>42 U.S.C. 280g</v>
      </c>
      <c r="H137" s="46">
        <v>38625</v>
      </c>
      <c r="I137" s="13">
        <v>2005</v>
      </c>
      <c r="J137" s="16" t="s">
        <v>12</v>
      </c>
      <c r="K137" s="16" t="s">
        <v>62</v>
      </c>
      <c r="L137" s="3" t="s">
        <v>60</v>
      </c>
      <c r="M137" s="3" t="s">
        <v>71</v>
      </c>
      <c r="N137" s="3" t="s">
        <v>72</v>
      </c>
    </row>
    <row r="138" spans="1:14" x14ac:dyDescent="0.3">
      <c r="A138" s="36" t="s">
        <v>37</v>
      </c>
      <c r="B138" s="13">
        <v>106</v>
      </c>
      <c r="C138" s="48" t="str">
        <f t="shared" si="4"/>
        <v>P.L. 106-310</v>
      </c>
      <c r="D138" s="3" t="s">
        <v>318</v>
      </c>
      <c r="E138" s="3" t="s">
        <v>326</v>
      </c>
      <c r="F138" s="3" t="s">
        <v>327</v>
      </c>
      <c r="G138" s="48" t="str">
        <f>HYPERLINK("https://uscode.house.gov/view.xhtml?req=granuleid:USC-prelim-title42-section254c-5&amp;num=0&amp;edition=prelim", "42 U.S.C. 254c-5")</f>
        <v>42 U.S.C. 254c-5</v>
      </c>
      <c r="H138" s="46">
        <v>38625</v>
      </c>
      <c r="I138" s="13">
        <v>2005</v>
      </c>
      <c r="J138" s="16" t="s">
        <v>12</v>
      </c>
      <c r="K138" s="47">
        <v>3642000</v>
      </c>
      <c r="L138" s="3" t="s">
        <v>60</v>
      </c>
      <c r="M138" s="3" t="s">
        <v>71</v>
      </c>
      <c r="N138" s="3" t="s">
        <v>72</v>
      </c>
    </row>
    <row r="139" spans="1:14" x14ac:dyDescent="0.3">
      <c r="A139" s="36" t="s">
        <v>37</v>
      </c>
      <c r="B139" s="13">
        <v>106</v>
      </c>
      <c r="C139" s="48" t="str">
        <f t="shared" si="4"/>
        <v>P.L. 106-310</v>
      </c>
      <c r="D139" s="3" t="s">
        <v>318</v>
      </c>
      <c r="E139" s="3" t="s">
        <v>328</v>
      </c>
      <c r="F139" s="3" t="s">
        <v>329</v>
      </c>
      <c r="G139" s="48" t="str">
        <f>HYPERLINK("https://uscode.house.gov/view.xhtml?req=granuleid:USC-prelim-title42-section247b-16&amp;num=0&amp;edition=prelim", "42 U.S.C. 247b-16(6)")</f>
        <v>42 U.S.C. 247b-16(6)</v>
      </c>
      <c r="H139" s="46">
        <v>38625</v>
      </c>
      <c r="I139" s="13">
        <v>2005</v>
      </c>
      <c r="J139" s="16" t="s">
        <v>12</v>
      </c>
      <c r="K139" s="16" t="s">
        <v>62</v>
      </c>
      <c r="L139" s="3" t="s">
        <v>60</v>
      </c>
      <c r="M139" s="3" t="s">
        <v>71</v>
      </c>
      <c r="N139" s="3" t="s">
        <v>72</v>
      </c>
    </row>
    <row r="140" spans="1:14" x14ac:dyDescent="0.3">
      <c r="A140" s="36" t="s">
        <v>37</v>
      </c>
      <c r="B140" s="13">
        <v>106</v>
      </c>
      <c r="C140" s="48" t="str">
        <f t="shared" si="4"/>
        <v>P.L. 106-310</v>
      </c>
      <c r="D140" s="3" t="s">
        <v>318</v>
      </c>
      <c r="E140" s="3" t="s">
        <v>330</v>
      </c>
      <c r="F140" s="3" t="s">
        <v>331</v>
      </c>
      <c r="G140" s="48" t="str">
        <f>HYPERLINK("https://uscode.house.gov/view.xhtml?req=granuleid:USC-prelim-title42-section247b-3a&amp;num=0&amp;edition=prelim", "42 U.S.C. 247b-3a")</f>
        <v>42 U.S.C. 247b-3a</v>
      </c>
      <c r="H140" s="46">
        <v>38625</v>
      </c>
      <c r="I140" s="13">
        <v>2005</v>
      </c>
      <c r="J140" s="16" t="s">
        <v>12</v>
      </c>
      <c r="K140" s="16" t="s">
        <v>62</v>
      </c>
      <c r="L140" s="3" t="s">
        <v>60</v>
      </c>
      <c r="M140" s="3" t="s">
        <v>71</v>
      </c>
      <c r="N140" s="3" t="s">
        <v>72</v>
      </c>
    </row>
    <row r="141" spans="1:14" x14ac:dyDescent="0.3">
      <c r="A141" s="36" t="s">
        <v>37</v>
      </c>
      <c r="B141" s="13">
        <v>106</v>
      </c>
      <c r="C141" s="48" t="str">
        <f t="shared" si="4"/>
        <v>P.L. 106-310</v>
      </c>
      <c r="D141" s="3" t="s">
        <v>318</v>
      </c>
      <c r="E141" s="3" t="s">
        <v>332</v>
      </c>
      <c r="F141" s="3" t="s">
        <v>333</v>
      </c>
      <c r="G141" s="48" t="str">
        <f>HYPERLINK("https://uscode.house.gov/view.xhtml?req=granuleid:USC-prelim-title42-section247b-1&amp;num=0&amp;edition=prelim", "42 U.S.C. 247b-1(l)(1)")</f>
        <v>42 U.S.C. 247b-1(l)(1)</v>
      </c>
      <c r="H141" s="46">
        <v>38625</v>
      </c>
      <c r="I141" s="13">
        <v>2005</v>
      </c>
      <c r="J141" s="16" t="s">
        <v>12</v>
      </c>
      <c r="K141" s="16" t="s">
        <v>62</v>
      </c>
      <c r="L141" s="3" t="s">
        <v>60</v>
      </c>
      <c r="M141" s="3" t="s">
        <v>71</v>
      </c>
      <c r="N141" s="3" t="s">
        <v>72</v>
      </c>
    </row>
    <row r="142" spans="1:14" x14ac:dyDescent="0.3">
      <c r="A142" s="36" t="s">
        <v>37</v>
      </c>
      <c r="B142" s="13">
        <v>106</v>
      </c>
      <c r="C142" s="48" t="str">
        <f t="shared" si="4"/>
        <v>P.L. 106-310</v>
      </c>
      <c r="D142" s="3" t="s">
        <v>318</v>
      </c>
      <c r="E142" s="3" t="s">
        <v>334</v>
      </c>
      <c r="F142" s="3" t="s">
        <v>335</v>
      </c>
      <c r="G142" s="48" t="str">
        <f>HYPERLINK("https://uscode.house.gov/view.xhtml?req=granuleid:USC-prelim-title42-section254c-6&amp;num=0&amp;edition=prelim", "42 U.S.C. 254c-6")</f>
        <v>42 U.S.C. 254c-6</v>
      </c>
      <c r="H142" s="46">
        <v>38625</v>
      </c>
      <c r="I142" s="13">
        <v>2005</v>
      </c>
      <c r="J142" s="16" t="s">
        <v>12</v>
      </c>
      <c r="K142" s="16" t="s">
        <v>62</v>
      </c>
      <c r="L142" s="3" t="s">
        <v>60</v>
      </c>
      <c r="M142" s="3" t="s">
        <v>71</v>
      </c>
      <c r="N142" s="3" t="s">
        <v>72</v>
      </c>
    </row>
    <row r="143" spans="1:14" x14ac:dyDescent="0.3">
      <c r="A143" s="36" t="s">
        <v>37</v>
      </c>
      <c r="B143" s="13">
        <v>106</v>
      </c>
      <c r="C143" s="48" t="str">
        <f t="shared" si="4"/>
        <v>P.L. 106-310</v>
      </c>
      <c r="D143" s="3" t="s">
        <v>318</v>
      </c>
      <c r="E143" s="3" t="s">
        <v>336</v>
      </c>
      <c r="F143" s="3" t="s">
        <v>337</v>
      </c>
      <c r="G143" s="48" t="str">
        <f>HYPERLINK("https://uscode.house.gov/view.xhtml?req=granuleid:USC-prelim-title42-section254c-6&amp;num=0&amp;edition=prelim", "42 U.S.C. 254c-6")</f>
        <v>42 U.S.C. 254c-6</v>
      </c>
      <c r="H143" s="46">
        <v>38625</v>
      </c>
      <c r="I143" s="13">
        <v>2005</v>
      </c>
      <c r="J143" s="16" t="s">
        <v>12</v>
      </c>
      <c r="K143" s="16" t="s">
        <v>62</v>
      </c>
      <c r="L143" s="3" t="s">
        <v>60</v>
      </c>
      <c r="M143" s="3" t="s">
        <v>71</v>
      </c>
      <c r="N143" s="3" t="s">
        <v>72</v>
      </c>
    </row>
    <row r="144" spans="1:14" x14ac:dyDescent="0.3">
      <c r="A144" s="36" t="s">
        <v>37</v>
      </c>
      <c r="B144" s="13">
        <v>106</v>
      </c>
      <c r="C144" s="48" t="str">
        <f t="shared" si="4"/>
        <v>P.L. 106-310</v>
      </c>
      <c r="D144" s="3" t="s">
        <v>318</v>
      </c>
      <c r="E144" s="3" t="s">
        <v>338</v>
      </c>
      <c r="F144" s="3" t="s">
        <v>339</v>
      </c>
      <c r="G144" s="48" t="str">
        <f>HYPERLINK("https://uscode.house.gov/view.xhtml?req=granuleid:USC-prelim-title42-section300b-7&amp;num=0&amp;edition=prelim", "42 U.S.C. 300b-7")</f>
        <v>42 U.S.C. 300b-7</v>
      </c>
      <c r="H144" s="46">
        <v>38625</v>
      </c>
      <c r="I144" s="13">
        <v>2005</v>
      </c>
      <c r="J144" s="16" t="s">
        <v>12</v>
      </c>
      <c r="K144" s="47">
        <v>2500000</v>
      </c>
      <c r="L144" s="3" t="s">
        <v>60</v>
      </c>
      <c r="M144" s="3" t="s">
        <v>71</v>
      </c>
      <c r="N144" s="3" t="s">
        <v>72</v>
      </c>
    </row>
    <row r="145" spans="1:14" x14ac:dyDescent="0.3">
      <c r="A145" s="36" t="s">
        <v>37</v>
      </c>
      <c r="B145" s="13">
        <v>106</v>
      </c>
      <c r="C145" s="48" t="str">
        <f t="shared" si="4"/>
        <v>P.L. 106-310</v>
      </c>
      <c r="D145" s="3" t="s">
        <v>318</v>
      </c>
      <c r="E145" s="3" t="s">
        <v>340</v>
      </c>
      <c r="F145" s="3" t="s">
        <v>341</v>
      </c>
      <c r="G145" s="48" t="str">
        <f>HYPERLINK("https://uscode.house.gov/view.xhtml?req=granuleid:USC-prelim-title42-section280g-2&amp;num=0&amp;edition=prelim", "42 U.S.C. 280g-2")</f>
        <v>42 U.S.C. 280g-2</v>
      </c>
      <c r="H145" s="46">
        <v>38625</v>
      </c>
      <c r="I145" s="13">
        <v>2005</v>
      </c>
      <c r="J145" s="16" t="s">
        <v>12</v>
      </c>
      <c r="K145" s="16" t="s">
        <v>62</v>
      </c>
      <c r="L145" s="3" t="s">
        <v>60</v>
      </c>
      <c r="M145" s="3" t="s">
        <v>71</v>
      </c>
      <c r="N145" s="3" t="s">
        <v>72</v>
      </c>
    </row>
    <row r="146" spans="1:14" x14ac:dyDescent="0.3">
      <c r="A146" s="36" t="s">
        <v>37</v>
      </c>
      <c r="B146" s="13">
        <v>106</v>
      </c>
      <c r="C146" s="48" t="str">
        <f t="shared" si="4"/>
        <v>P.L. 106-310</v>
      </c>
      <c r="D146" s="3" t="s">
        <v>318</v>
      </c>
      <c r="E146" s="3" t="s">
        <v>342</v>
      </c>
      <c r="F146" s="3" t="s">
        <v>343</v>
      </c>
      <c r="G146" s="48" t="str">
        <f>HYPERLINK("https://uscode.house.gov/view.xhtml?req=granuleid:USC-prelim-title42-section247b-14a&amp;num=0&amp;edition=prelim", "42 U.S.C. 247b-14a")</f>
        <v>42 U.S.C. 247b-14a</v>
      </c>
      <c r="H146" s="46">
        <v>38625</v>
      </c>
      <c r="I146" s="13">
        <v>2005</v>
      </c>
      <c r="J146" s="16" t="s">
        <v>12</v>
      </c>
      <c r="K146" s="47">
        <v>5250000</v>
      </c>
      <c r="L146" s="3" t="s">
        <v>60</v>
      </c>
      <c r="M146" s="3" t="s">
        <v>71</v>
      </c>
      <c r="N146" s="3" t="s">
        <v>72</v>
      </c>
    </row>
    <row r="147" spans="1:14" x14ac:dyDescent="0.3">
      <c r="A147" s="36" t="s">
        <v>37</v>
      </c>
      <c r="B147" s="13">
        <v>106</v>
      </c>
      <c r="C147" s="48" t="str">
        <f t="shared" si="4"/>
        <v>P.L. 106-310</v>
      </c>
      <c r="D147" s="3" t="s">
        <v>318</v>
      </c>
      <c r="E147" s="3" t="s">
        <v>344</v>
      </c>
      <c r="F147" s="3" t="s">
        <v>345</v>
      </c>
      <c r="G147" s="48" t="str">
        <f>HYPERLINK("https://uscode.house.gov/view.xhtml?req=granuleid:USC-prelim-title42-section247b-14&amp;num=0&amp;edition=prelim", "42 U.S.C. 247b-14(a, b, and c)")</f>
        <v>42 U.S.C. 247b-14(a, b, and c)</v>
      </c>
      <c r="H147" s="46">
        <v>38625</v>
      </c>
      <c r="I147" s="13">
        <v>2005</v>
      </c>
      <c r="J147" s="16" t="s">
        <v>12</v>
      </c>
      <c r="K147" s="47">
        <v>20250000</v>
      </c>
      <c r="L147" s="3" t="s">
        <v>60</v>
      </c>
      <c r="M147" s="3" t="s">
        <v>71</v>
      </c>
      <c r="N147" s="3" t="s">
        <v>72</v>
      </c>
    </row>
    <row r="148" spans="1:14" x14ac:dyDescent="0.3">
      <c r="A148" s="36" t="s">
        <v>37</v>
      </c>
      <c r="B148" s="13">
        <v>106</v>
      </c>
      <c r="C148" s="48" t="str">
        <f t="shared" si="4"/>
        <v>P.L. 106-310</v>
      </c>
      <c r="D148" s="3" t="s">
        <v>318</v>
      </c>
      <c r="E148" s="3" t="s">
        <v>346</v>
      </c>
      <c r="F148" s="3" t="s">
        <v>347</v>
      </c>
      <c r="G148" s="48" t="str">
        <f>HYPERLINK("https://uscode.house.gov/view.xhtml?req=granuleid:USC-prelim-title42-section290bb-25&amp;num=0&amp;edition=prelim", "42 U.S.C. 290bb-25")</f>
        <v>42 U.S.C. 290bb-25</v>
      </c>
      <c r="H148" s="46">
        <v>37894</v>
      </c>
      <c r="I148" s="13">
        <v>2003</v>
      </c>
      <c r="J148" s="16" t="s">
        <v>12</v>
      </c>
      <c r="K148" s="47">
        <v>30197000</v>
      </c>
      <c r="L148" s="3" t="s">
        <v>60</v>
      </c>
      <c r="M148" s="3" t="s">
        <v>71</v>
      </c>
      <c r="N148" s="3" t="s">
        <v>72</v>
      </c>
    </row>
    <row r="149" spans="1:14" x14ac:dyDescent="0.3">
      <c r="A149" s="36" t="s">
        <v>37</v>
      </c>
      <c r="B149" s="13">
        <v>106</v>
      </c>
      <c r="C149" s="48" t="str">
        <f t="shared" si="4"/>
        <v>P.L. 106-310</v>
      </c>
      <c r="D149" s="3" t="s">
        <v>318</v>
      </c>
      <c r="E149" s="3" t="s">
        <v>348</v>
      </c>
      <c r="F149" s="3" t="s">
        <v>349</v>
      </c>
      <c r="G149" s="48" t="str">
        <f>HYPERLINK("https://uscode.house.gov/view.xhtml?req=granuleid:USC-prelim-title42-section290bb-25d&amp;num=0&amp;edition=prelim", "42 U.S.C. 290bb-25d")</f>
        <v>42 U.S.C. 290bb-25d</v>
      </c>
      <c r="H149" s="46">
        <v>37894</v>
      </c>
      <c r="I149" s="13">
        <v>2003</v>
      </c>
      <c r="J149" s="16" t="s">
        <v>12</v>
      </c>
      <c r="K149" s="16" t="s">
        <v>62</v>
      </c>
      <c r="L149" s="3" t="s">
        <v>60</v>
      </c>
      <c r="M149" s="3" t="s">
        <v>71</v>
      </c>
      <c r="N149" s="3" t="s">
        <v>72</v>
      </c>
    </row>
    <row r="150" spans="1:14" x14ac:dyDescent="0.3">
      <c r="A150" s="36" t="s">
        <v>37</v>
      </c>
      <c r="B150" s="13">
        <v>106</v>
      </c>
      <c r="C150" s="48" t="str">
        <f t="shared" si="4"/>
        <v>P.L. 106-310</v>
      </c>
      <c r="D150" s="3" t="s">
        <v>318</v>
      </c>
      <c r="E150" s="3" t="s">
        <v>350</v>
      </c>
      <c r="F150" s="3" t="s">
        <v>351</v>
      </c>
      <c r="G150" s="48" t="str">
        <f>HYPERLINK("https://uscode.house.gov/view.xhtml?req=granuleid:USC-prelim-title42-section10827&amp;num=0&amp;edition=prelim", "42 U.S.C. 10827")</f>
        <v>42 U.S.C. 10827</v>
      </c>
      <c r="H150" s="46">
        <v>37894</v>
      </c>
      <c r="I150" s="13">
        <v>2003</v>
      </c>
      <c r="J150" s="16" t="s">
        <v>12</v>
      </c>
      <c r="K150" s="47">
        <v>40000000</v>
      </c>
      <c r="L150" s="3" t="s">
        <v>60</v>
      </c>
      <c r="M150" s="3" t="s">
        <v>71</v>
      </c>
      <c r="N150" s="3" t="s">
        <v>72</v>
      </c>
    </row>
    <row r="151" spans="1:14" x14ac:dyDescent="0.3">
      <c r="A151" s="36" t="s">
        <v>37</v>
      </c>
      <c r="B151" s="13">
        <v>106</v>
      </c>
      <c r="C151" s="48" t="str">
        <f t="shared" si="4"/>
        <v>P.L. 106-310</v>
      </c>
      <c r="D151" s="3" t="s">
        <v>318</v>
      </c>
      <c r="E151" s="3" t="s">
        <v>352</v>
      </c>
      <c r="F151" s="3" t="s">
        <v>353</v>
      </c>
      <c r="G151" s="48" t="str">
        <f>HYPERLINK("https://uscode.house.gov/view.xhtml?req=granuleid:USC-prelim-title42-section290bb-40&amp;num=0&amp;edition=prelim", "42 U.S.C. 290bb-40")</f>
        <v>42 U.S.C. 290bb-40</v>
      </c>
      <c r="H151" s="46">
        <v>37894</v>
      </c>
      <c r="I151" s="13">
        <v>2003</v>
      </c>
      <c r="J151" s="16" t="s">
        <v>12</v>
      </c>
      <c r="K151" s="16" t="s">
        <v>62</v>
      </c>
      <c r="L151" s="3" t="s">
        <v>60</v>
      </c>
      <c r="M151" s="3" t="s">
        <v>71</v>
      </c>
      <c r="N151" s="3" t="s">
        <v>72</v>
      </c>
    </row>
    <row r="152" spans="1:14" x14ac:dyDescent="0.3">
      <c r="A152" s="36" t="s">
        <v>37</v>
      </c>
      <c r="B152" s="13">
        <v>106</v>
      </c>
      <c r="C152" s="48" t="str">
        <f t="shared" si="4"/>
        <v>P.L. 106-310</v>
      </c>
      <c r="D152" s="3" t="s">
        <v>318</v>
      </c>
      <c r="E152" s="3" t="s">
        <v>354</v>
      </c>
      <c r="F152" s="3" t="s">
        <v>355</v>
      </c>
      <c r="G152" s="48" t="str">
        <f>HYPERLINK("https://uscode.house.gov/view.xhtml?req=granuleid:USC-prelim-title42-section290hh&amp;num=0&amp;edition=prelim", "42 U.S.C. 290hh")</f>
        <v>42 U.S.C. 290hh</v>
      </c>
      <c r="H152" s="46">
        <v>37894</v>
      </c>
      <c r="I152" s="13">
        <v>2003</v>
      </c>
      <c r="J152" s="16" t="s">
        <v>12</v>
      </c>
      <c r="K152" s="16" t="s">
        <v>62</v>
      </c>
      <c r="L152" s="3" t="s">
        <v>60</v>
      </c>
      <c r="M152" s="3" t="s">
        <v>71</v>
      </c>
      <c r="N152" s="3" t="s">
        <v>72</v>
      </c>
    </row>
    <row r="153" spans="1:14" x14ac:dyDescent="0.3">
      <c r="A153" s="36" t="s">
        <v>37</v>
      </c>
      <c r="B153" s="13">
        <v>106</v>
      </c>
      <c r="C153" s="48" t="str">
        <f t="shared" si="4"/>
        <v>P.L. 106-310</v>
      </c>
      <c r="D153" s="3" t="s">
        <v>318</v>
      </c>
      <c r="E153" s="3" t="s">
        <v>356</v>
      </c>
      <c r="F153" s="3" t="s">
        <v>357</v>
      </c>
      <c r="G153" s="48" t="str">
        <f>HYPERLINK("https://uscode.house.gov/view.xhtml?req=granuleid:USC-prelim-title42-section300y&amp;num=0&amp;edition=prelim", "42 U.S.C. 300y")</f>
        <v>42 U.S.C. 300y</v>
      </c>
      <c r="H153" s="46">
        <v>37894</v>
      </c>
      <c r="I153" s="13">
        <v>2003</v>
      </c>
      <c r="J153" s="16" t="s">
        <v>12</v>
      </c>
      <c r="K153" s="16" t="s">
        <v>62</v>
      </c>
      <c r="L153" s="3" t="s">
        <v>60</v>
      </c>
      <c r="M153" s="3" t="s">
        <v>71</v>
      </c>
      <c r="N153" s="3" t="s">
        <v>72</v>
      </c>
    </row>
    <row r="154" spans="1:14" x14ac:dyDescent="0.3">
      <c r="A154" s="36" t="s">
        <v>37</v>
      </c>
      <c r="B154" s="13">
        <v>106</v>
      </c>
      <c r="C154" s="48" t="str">
        <f t="shared" si="4"/>
        <v>P.L. 106-310</v>
      </c>
      <c r="D154" s="3" t="s">
        <v>318</v>
      </c>
      <c r="E154" s="3" t="s">
        <v>358</v>
      </c>
      <c r="F154" s="3" t="s">
        <v>359</v>
      </c>
      <c r="G154" s="48" t="str">
        <f>HYPERLINK("https://uscode.house.gov/view.xhtml?req=granuleid:USC-prelim-title42-section247b-11&amp;num=0&amp;edition=prelim", "42 U.S.C. 247b-11")</f>
        <v>42 U.S.C. 247b-11</v>
      </c>
      <c r="H154" s="46">
        <v>38625</v>
      </c>
      <c r="I154" s="13">
        <v>2005</v>
      </c>
      <c r="J154" s="16" t="s">
        <v>12</v>
      </c>
      <c r="K154" s="47">
        <v>3150000</v>
      </c>
      <c r="L154" s="3" t="s">
        <v>60</v>
      </c>
      <c r="M154" s="3" t="s">
        <v>71</v>
      </c>
      <c r="N154" s="3" t="s">
        <v>72</v>
      </c>
    </row>
    <row r="155" spans="1:14" x14ac:dyDescent="0.3">
      <c r="A155" s="36" t="s">
        <v>37</v>
      </c>
      <c r="B155" s="13">
        <v>106</v>
      </c>
      <c r="C155" s="48" t="str">
        <f t="shared" si="4"/>
        <v>P.L. 106-310</v>
      </c>
      <c r="D155" s="3" t="s">
        <v>318</v>
      </c>
      <c r="E155" s="3" t="s">
        <v>360</v>
      </c>
      <c r="F155" s="3" t="s">
        <v>361</v>
      </c>
      <c r="G155" s="48" t="str">
        <f>HYPERLINK("https://uscode.house.gov/view.xhtml?req=granuleid:USC-prelim-title42-section280b-3&amp;num=0&amp;edition=prelim", "42 U.S.C. 280b-3")</f>
        <v>42 U.S.C. 280b-3</v>
      </c>
      <c r="H155" s="46">
        <v>38625</v>
      </c>
      <c r="I155" s="13">
        <v>2005</v>
      </c>
      <c r="J155" s="16" t="s">
        <v>12</v>
      </c>
      <c r="K155" s="47">
        <v>761379000</v>
      </c>
      <c r="L155" s="3" t="s">
        <v>60</v>
      </c>
      <c r="M155" s="3" t="s">
        <v>71</v>
      </c>
      <c r="N155" s="3" t="s">
        <v>72</v>
      </c>
    </row>
    <row r="156" spans="1:14" x14ac:dyDescent="0.3">
      <c r="A156" s="36" t="s">
        <v>37</v>
      </c>
      <c r="B156" s="13">
        <v>106</v>
      </c>
      <c r="C156" s="48" t="str">
        <f>HYPERLINK("https://uscode.house.gov/statutes/pl/106/402.pdf", "P.L. 106-402")</f>
        <v>P.L. 106-402</v>
      </c>
      <c r="D156" s="3" t="s">
        <v>362</v>
      </c>
      <c r="E156" s="3" t="s">
        <v>363</v>
      </c>
      <c r="F156" s="3" t="s">
        <v>364</v>
      </c>
      <c r="G156" s="48" t="str">
        <f>HYPERLINK("https://uscode.house.gov/view.xhtml?req=granuleid:USC-prelim-title42-section15029&amp;num=0&amp;edition=prelim", "42 U.S.C. 15029(a)")</f>
        <v>42 U.S.C. 15029(a)</v>
      </c>
      <c r="H156" s="46">
        <v>39355</v>
      </c>
      <c r="I156" s="13">
        <v>2007</v>
      </c>
      <c r="J156" s="16" t="s">
        <v>12</v>
      </c>
      <c r="K156" s="47">
        <v>181369000</v>
      </c>
      <c r="L156" s="3" t="s">
        <v>130</v>
      </c>
      <c r="M156" s="3" t="s">
        <v>71</v>
      </c>
      <c r="N156" s="3" t="s">
        <v>72</v>
      </c>
    </row>
    <row r="157" spans="1:14" x14ac:dyDescent="0.3">
      <c r="A157" s="36" t="s">
        <v>37</v>
      </c>
      <c r="B157" s="13">
        <v>106</v>
      </c>
      <c r="C157" s="48" t="str">
        <f>HYPERLINK("https://uscode.house.gov/statutes/pl/106/402.pdf", "P.L. 106-402")</f>
        <v>P.L. 106-402</v>
      </c>
      <c r="D157" s="3" t="s">
        <v>362</v>
      </c>
      <c r="E157" s="3" t="s">
        <v>365</v>
      </c>
      <c r="F157" s="3" t="s">
        <v>366</v>
      </c>
      <c r="G157" s="48" t="str">
        <f>HYPERLINK("https://uscode.house.gov/view.xhtml?req=granuleid:USC-prelim-title42-section15101&amp;num=0&amp;edition=prelim", "42 U.S.C. 15101")</f>
        <v>42 U.S.C. 15101</v>
      </c>
      <c r="H157" s="46">
        <v>39355</v>
      </c>
      <c r="I157" s="13">
        <v>2007</v>
      </c>
      <c r="J157" s="16" t="s">
        <v>12</v>
      </c>
      <c r="K157" s="16" t="s">
        <v>62</v>
      </c>
      <c r="L157" s="3" t="s">
        <v>130</v>
      </c>
      <c r="M157" s="3" t="s">
        <v>71</v>
      </c>
      <c r="N157" s="3" t="s">
        <v>72</v>
      </c>
    </row>
    <row r="158" spans="1:14" x14ac:dyDescent="0.3">
      <c r="A158" s="36" t="s">
        <v>37</v>
      </c>
      <c r="B158" s="13">
        <v>106</v>
      </c>
      <c r="C158" s="48" t="str">
        <f>HYPERLINK("https://uscode.house.gov/statutes/pl/106/457.pdf", "P.L. 106-457")</f>
        <v>P.L. 106-457</v>
      </c>
      <c r="D158" s="3" t="s">
        <v>367</v>
      </c>
      <c r="E158" s="3" t="s">
        <v>368</v>
      </c>
      <c r="F158" s="3" t="s">
        <v>369</v>
      </c>
      <c r="G158" s="49"/>
      <c r="H158" s="46">
        <v>38625</v>
      </c>
      <c r="I158" s="13">
        <v>2005</v>
      </c>
      <c r="J158" s="47">
        <v>4000000</v>
      </c>
      <c r="K158" s="16" t="s">
        <v>62</v>
      </c>
      <c r="L158" s="3" t="s">
        <v>47</v>
      </c>
      <c r="M158" s="3" t="s">
        <v>67</v>
      </c>
      <c r="N158" s="3" t="s">
        <v>49</v>
      </c>
    </row>
    <row r="159" spans="1:14" x14ac:dyDescent="0.3">
      <c r="A159" s="36" t="s">
        <v>37</v>
      </c>
      <c r="B159" s="13">
        <v>106</v>
      </c>
      <c r="C159" s="48" t="str">
        <f>HYPERLINK("https://uscode.house.gov/statutes/pl/106/505.pdf", "P.L. 106-505")</f>
        <v>P.L. 106-505</v>
      </c>
      <c r="D159" s="3" t="s">
        <v>370</v>
      </c>
      <c r="E159" s="3" t="s">
        <v>371</v>
      </c>
      <c r="F159" s="3" t="s">
        <v>372</v>
      </c>
      <c r="G159" s="48" t="str">
        <f>HYPERLINK("https://uscode.house.gov/view.xhtml?req=granuleid:USC-prelim-title42-section254c&amp;num=0&amp;edition=prelim", "42 U.S.C. 254c(note)")</f>
        <v>42 U.S.C. 254c(note)</v>
      </c>
      <c r="H159" s="46">
        <v>37894</v>
      </c>
      <c r="I159" s="13">
        <v>2003</v>
      </c>
      <c r="J159" s="16" t="s">
        <v>12</v>
      </c>
      <c r="K159" s="16" t="s">
        <v>62</v>
      </c>
      <c r="L159" s="3" t="s">
        <v>60</v>
      </c>
      <c r="M159" s="3" t="s">
        <v>71</v>
      </c>
      <c r="N159" s="3" t="s">
        <v>72</v>
      </c>
    </row>
    <row r="160" spans="1:14" x14ac:dyDescent="0.3">
      <c r="A160" s="36" t="s">
        <v>37</v>
      </c>
      <c r="B160" s="13">
        <v>106</v>
      </c>
      <c r="C160" s="48" t="str">
        <f>HYPERLINK("https://uscode.house.gov/statutes/pl/106/505.pdf", "P.L. 106-505")</f>
        <v>P.L. 106-505</v>
      </c>
      <c r="D160" s="3" t="s">
        <v>370</v>
      </c>
      <c r="E160" s="3" t="s">
        <v>358</v>
      </c>
      <c r="F160" s="3" t="s">
        <v>373</v>
      </c>
      <c r="G160" s="48" t="str">
        <f>HYPERLINK("https://uscode.house.gov/view.xhtml?req=granuleid:USC-prelim-title42-section247b-5&amp;num=0&amp;edition=prelim", "42 U.S.C. 247b-5")</f>
        <v>42 U.S.C. 247b-5</v>
      </c>
      <c r="H160" s="46">
        <v>38260</v>
      </c>
      <c r="I160" s="13">
        <v>2004</v>
      </c>
      <c r="J160" s="16" t="s">
        <v>12</v>
      </c>
      <c r="K160" s="47">
        <v>15205000</v>
      </c>
      <c r="L160" s="3" t="s">
        <v>60</v>
      </c>
      <c r="M160" s="3" t="s">
        <v>71</v>
      </c>
      <c r="N160" s="3" t="s">
        <v>72</v>
      </c>
    </row>
    <row r="161" spans="1:14" x14ac:dyDescent="0.3">
      <c r="A161" s="36" t="s">
        <v>37</v>
      </c>
      <c r="B161" s="13">
        <v>106</v>
      </c>
      <c r="C161" s="48" t="str">
        <f>HYPERLINK("https://uscode.house.gov/statutes/pl/106/513.pdf", "P.L. 106-513")</f>
        <v>P.L. 106-513</v>
      </c>
      <c r="D161" s="3" t="s">
        <v>374</v>
      </c>
      <c r="E161" s="3" t="s">
        <v>375</v>
      </c>
      <c r="F161" s="3" t="s">
        <v>376</v>
      </c>
      <c r="G161" s="48" t="str">
        <f>HYPERLINK("https://uscode.house.gov/view.xhtml?req=granuleid:USC-prelim-title16-section1444&amp;num=0&amp;edition=prelim", "16 U.S.C. 1444(1)")</f>
        <v>16 U.S.C. 1444(1)</v>
      </c>
      <c r="H161" s="46">
        <v>38625</v>
      </c>
      <c r="I161" s="13">
        <v>2005</v>
      </c>
      <c r="J161" s="47">
        <v>40000000</v>
      </c>
      <c r="K161" s="47">
        <v>68000000</v>
      </c>
      <c r="L161" s="3" t="s">
        <v>47</v>
      </c>
      <c r="M161" s="3" t="s">
        <v>148</v>
      </c>
      <c r="N161" s="3" t="s">
        <v>43</v>
      </c>
    </row>
    <row r="162" spans="1:14" x14ac:dyDescent="0.3">
      <c r="A162" s="36" t="s">
        <v>37</v>
      </c>
      <c r="B162" s="13">
        <v>106</v>
      </c>
      <c r="C162" s="48" t="str">
        <f>HYPERLINK("https://uscode.house.gov/statutes/pl/106/513.pdf", "P.L. 106-513")</f>
        <v>P.L. 106-513</v>
      </c>
      <c r="D162" s="3" t="s">
        <v>374</v>
      </c>
      <c r="E162" s="3" t="s">
        <v>375</v>
      </c>
      <c r="F162" s="3" t="s">
        <v>377</v>
      </c>
      <c r="G162" s="48" t="str">
        <f>HYPERLINK("https://uscode.house.gov/view.xhtml?req=granuleid:USC-prelim-title16-section1444&amp;num=0&amp;edition=prelim", "16 U.S.C. 1444")</f>
        <v>16 U.S.C. 1444</v>
      </c>
      <c r="H162" s="46">
        <v>38625</v>
      </c>
      <c r="I162" s="13">
        <v>2005</v>
      </c>
      <c r="J162" s="47">
        <v>6000000</v>
      </c>
      <c r="K162" s="47">
        <v>5500000</v>
      </c>
      <c r="L162" s="3" t="s">
        <v>47</v>
      </c>
      <c r="M162" s="3" t="s">
        <v>148</v>
      </c>
      <c r="N162" s="3" t="s">
        <v>43</v>
      </c>
    </row>
    <row r="163" spans="1:14" x14ac:dyDescent="0.3">
      <c r="A163" s="36" t="s">
        <v>37</v>
      </c>
      <c r="B163" s="13">
        <v>106</v>
      </c>
      <c r="C163" s="48" t="str">
        <f>HYPERLINK("https://uscode.house.gov/statutes/pl/106/541.pdf", "P.L. 106-541")</f>
        <v>P.L. 106-541</v>
      </c>
      <c r="D163" s="3" t="s">
        <v>378</v>
      </c>
      <c r="F163" s="3" t="s">
        <v>379</v>
      </c>
      <c r="G163" s="49"/>
      <c r="H163" s="46">
        <v>38260</v>
      </c>
      <c r="I163" s="13">
        <v>2004</v>
      </c>
      <c r="J163" s="47">
        <v>5000000</v>
      </c>
      <c r="K163" s="16" t="s">
        <v>62</v>
      </c>
      <c r="L163" s="3" t="s">
        <v>109</v>
      </c>
      <c r="M163" s="3" t="s">
        <v>67</v>
      </c>
      <c r="N163" s="3" t="s">
        <v>58</v>
      </c>
    </row>
    <row r="164" spans="1:14" x14ac:dyDescent="0.3">
      <c r="A164" s="36" t="s">
        <v>37</v>
      </c>
      <c r="B164" s="13">
        <v>106</v>
      </c>
      <c r="C164" s="48" t="str">
        <f>HYPERLINK("https://uscode.house.gov/statutes/pl/106/546.pdf", "P.L. 106-546")</f>
        <v>P.L. 106-546</v>
      </c>
      <c r="D164" s="3" t="s">
        <v>380</v>
      </c>
      <c r="F164" s="3" t="s">
        <v>381</v>
      </c>
      <c r="G164" s="49"/>
      <c r="H164" s="46">
        <v>38625</v>
      </c>
      <c r="I164" s="13">
        <v>2005</v>
      </c>
      <c r="J164" s="16" t="s">
        <v>12</v>
      </c>
      <c r="K164" s="16" t="s">
        <v>62</v>
      </c>
      <c r="L164" s="3" t="s">
        <v>41</v>
      </c>
      <c r="M164" s="3" t="s">
        <v>42</v>
      </c>
      <c r="N164" s="3" t="s">
        <v>55</v>
      </c>
    </row>
    <row r="165" spans="1:14" x14ac:dyDescent="0.3">
      <c r="A165" s="36" t="s">
        <v>37</v>
      </c>
      <c r="B165" s="13">
        <v>106</v>
      </c>
      <c r="C165" s="48" t="str">
        <f>HYPERLINK("https://uscode.house.gov/statutes/pl/106/554.pdf", "P.L. 106-554")</f>
        <v>P.L. 106-554</v>
      </c>
      <c r="D165" s="3" t="s">
        <v>382</v>
      </c>
      <c r="F165" s="3" t="s">
        <v>383</v>
      </c>
      <c r="G165" s="49"/>
      <c r="H165" s="46">
        <v>38625</v>
      </c>
      <c r="I165" s="13">
        <v>2005</v>
      </c>
      <c r="J165" s="47">
        <v>4000000</v>
      </c>
      <c r="K165" s="16" t="s">
        <v>62</v>
      </c>
      <c r="L165" s="3" t="s">
        <v>47</v>
      </c>
      <c r="M165" s="3" t="s">
        <v>148</v>
      </c>
      <c r="N165" s="3" t="s">
        <v>43</v>
      </c>
    </row>
    <row r="166" spans="1:14" x14ac:dyDescent="0.3">
      <c r="A166" s="36" t="s">
        <v>37</v>
      </c>
      <c r="B166" s="13">
        <v>106</v>
      </c>
      <c r="C166" s="48" t="str">
        <f>HYPERLINK("https://uscode.house.gov/statutes/pl/106/554.pdf", "P.L. 106-554")</f>
        <v>P.L. 106-554</v>
      </c>
      <c r="D166" s="3" t="s">
        <v>382</v>
      </c>
      <c r="F166" s="3" t="s">
        <v>384</v>
      </c>
      <c r="G166" s="49"/>
      <c r="H166" s="46">
        <v>38990</v>
      </c>
      <c r="I166" s="13">
        <v>2006</v>
      </c>
      <c r="J166" s="16" t="s">
        <v>12</v>
      </c>
      <c r="K166" s="16" t="s">
        <v>62</v>
      </c>
      <c r="L166" s="3" t="s">
        <v>156</v>
      </c>
      <c r="M166" s="3" t="s">
        <v>157</v>
      </c>
      <c r="N166" s="3" t="s">
        <v>55</v>
      </c>
    </row>
    <row r="167" spans="1:14" x14ac:dyDescent="0.3">
      <c r="A167" s="36" t="s">
        <v>37</v>
      </c>
      <c r="B167" s="13">
        <v>106</v>
      </c>
      <c r="C167" s="48" t="str">
        <f>HYPERLINK("https://uscode.house.gov/statutes/pl/106/555.pdf", "P.L. 106-555")</f>
        <v>P.L. 106-555</v>
      </c>
      <c r="D167" s="3" t="s">
        <v>385</v>
      </c>
      <c r="E167" s="3" t="s">
        <v>173</v>
      </c>
      <c r="F167" s="3" t="s">
        <v>386</v>
      </c>
      <c r="G167" s="48" t="str">
        <f>HYPERLINK("https://uscode.house.gov/view.xhtml?req=granuleid:USC-prelim-title16-section1421f-1&amp;num=0&amp;edition=prelim", "16 U.S.C. 1421f-1(408)(h)")</f>
        <v>16 U.S.C. 1421f-1(408)(h)</v>
      </c>
      <c r="H167" s="46">
        <v>37894</v>
      </c>
      <c r="I167" s="13">
        <v>2003</v>
      </c>
      <c r="J167" s="47">
        <v>1000000</v>
      </c>
      <c r="K167" s="47">
        <v>2300000</v>
      </c>
      <c r="L167" s="3" t="s">
        <v>47</v>
      </c>
      <c r="M167" s="3" t="s">
        <v>148</v>
      </c>
      <c r="N167" s="3" t="s">
        <v>49</v>
      </c>
    </row>
    <row r="168" spans="1:14" x14ac:dyDescent="0.3">
      <c r="A168" s="36" t="s">
        <v>37</v>
      </c>
      <c r="B168" s="13">
        <v>106</v>
      </c>
      <c r="C168" s="48" t="str">
        <f>HYPERLINK("https://uscode.house.gov/statutes/pl/106/555.pdf", "P.L. 106-555")</f>
        <v>P.L. 106-555</v>
      </c>
      <c r="D168" s="3" t="s">
        <v>385</v>
      </c>
      <c r="F168" s="3" t="s">
        <v>387</v>
      </c>
      <c r="G168" s="49"/>
      <c r="H168" s="46">
        <v>37894</v>
      </c>
      <c r="I168" s="13">
        <v>2003</v>
      </c>
      <c r="J168" s="47">
        <v>4000000</v>
      </c>
      <c r="K168" s="47">
        <v>4500000</v>
      </c>
      <c r="L168" s="3" t="s">
        <v>47</v>
      </c>
      <c r="M168" s="3" t="s">
        <v>148</v>
      </c>
      <c r="N168" s="3" t="s">
        <v>43</v>
      </c>
    </row>
    <row r="169" spans="1:14" x14ac:dyDescent="0.3">
      <c r="A169" s="36" t="s">
        <v>37</v>
      </c>
      <c r="B169" s="13">
        <v>106</v>
      </c>
      <c r="C169" s="48" t="str">
        <f>HYPERLINK("https://uscode.house.gov/statutes/pl/106/562.pdf", "P.L. 106-562")</f>
        <v>P.L. 106-562</v>
      </c>
      <c r="D169" s="3" t="s">
        <v>388</v>
      </c>
      <c r="E169" s="3" t="s">
        <v>389</v>
      </c>
      <c r="F169" s="3" t="s">
        <v>390</v>
      </c>
      <c r="G169" s="48" t="str">
        <f>HYPERLINK("https://uscode.house.gov/view.xhtml?req=granuleid:USC-prelim-title16-section6408&amp;num=0&amp;edition=prelim", "16 U.S.C. 6408")</f>
        <v>16 U.S.C. 6408</v>
      </c>
      <c r="H169" s="46">
        <v>38260</v>
      </c>
      <c r="I169" s="13">
        <v>2004</v>
      </c>
      <c r="J169" s="47">
        <v>16000000</v>
      </c>
      <c r="K169" s="47">
        <v>33500000</v>
      </c>
      <c r="L169" s="3" t="s">
        <v>47</v>
      </c>
      <c r="M169" s="3" t="s">
        <v>148</v>
      </c>
      <c r="N169" s="3" t="s">
        <v>43</v>
      </c>
    </row>
    <row r="170" spans="1:14" x14ac:dyDescent="0.3">
      <c r="A170" s="36" t="s">
        <v>37</v>
      </c>
      <c r="B170" s="13">
        <v>106</v>
      </c>
      <c r="C170" s="48" t="str">
        <f>HYPERLINK("https://uscode.house.gov/statutes/pl/106/568.pdf", "P.L. 106-568")</f>
        <v>P.L. 106-568</v>
      </c>
      <c r="D170" s="3" t="s">
        <v>391</v>
      </c>
      <c r="F170" s="3" t="s">
        <v>392</v>
      </c>
      <c r="G170" s="49"/>
      <c r="H170" s="46">
        <v>38260</v>
      </c>
      <c r="I170" s="13">
        <v>2004</v>
      </c>
      <c r="J170" s="16" t="s">
        <v>12</v>
      </c>
      <c r="K170" s="47">
        <v>22300000</v>
      </c>
      <c r="L170" s="3" t="s">
        <v>156</v>
      </c>
      <c r="M170" s="3" t="s">
        <v>236</v>
      </c>
      <c r="N170" s="3" t="s">
        <v>158</v>
      </c>
    </row>
    <row r="171" spans="1:14" x14ac:dyDescent="0.3">
      <c r="A171" s="36" t="s">
        <v>37</v>
      </c>
      <c r="B171" s="13">
        <v>106</v>
      </c>
      <c r="C171" s="48" t="str">
        <f>HYPERLINK("https://uscode.house.gov/statutes/pl/106/569.pdf", "P.L. 106-569")</f>
        <v>P.L. 106-569</v>
      </c>
      <c r="D171" s="3" t="s">
        <v>393</v>
      </c>
      <c r="F171" s="3" t="s">
        <v>394</v>
      </c>
      <c r="G171" s="49"/>
      <c r="H171" s="46">
        <v>38625</v>
      </c>
      <c r="I171" s="13">
        <v>2005</v>
      </c>
      <c r="J171" s="16" t="s">
        <v>12</v>
      </c>
      <c r="K171" s="16" t="s">
        <v>62</v>
      </c>
      <c r="L171" s="3" t="s">
        <v>156</v>
      </c>
      <c r="M171" s="3" t="s">
        <v>157</v>
      </c>
      <c r="N171" s="3" t="s">
        <v>158</v>
      </c>
    </row>
    <row r="172" spans="1:14" x14ac:dyDescent="0.3">
      <c r="A172" s="36" t="s">
        <v>37</v>
      </c>
      <c r="B172" s="13">
        <v>106</v>
      </c>
      <c r="C172" s="48" t="str">
        <f>HYPERLINK("https://uscode.house.gov/statutes/pl/106/569.pdf", "P.L. 106-569")</f>
        <v>P.L. 106-569</v>
      </c>
      <c r="D172" s="3" t="s">
        <v>393</v>
      </c>
      <c r="F172" s="3" t="s">
        <v>395</v>
      </c>
      <c r="G172" s="49"/>
      <c r="H172" s="46">
        <v>37164</v>
      </c>
      <c r="I172" s="13">
        <v>2001</v>
      </c>
      <c r="J172" s="16" t="s">
        <v>12</v>
      </c>
      <c r="K172" s="47">
        <v>62500000</v>
      </c>
      <c r="L172" s="3" t="s">
        <v>156</v>
      </c>
      <c r="M172" s="3" t="s">
        <v>157</v>
      </c>
      <c r="N172" s="3" t="s">
        <v>158</v>
      </c>
    </row>
    <row r="173" spans="1:14" x14ac:dyDescent="0.3">
      <c r="A173" s="36" t="s">
        <v>37</v>
      </c>
      <c r="B173" s="13">
        <v>106</v>
      </c>
      <c r="C173" s="48" t="str">
        <f>HYPERLINK("https://uscode.house.gov/statutes/pl/106/569.pdf", "P.L. 106-569")</f>
        <v>P.L. 106-569</v>
      </c>
      <c r="D173" s="3" t="s">
        <v>393</v>
      </c>
      <c r="F173" s="3" t="s">
        <v>396</v>
      </c>
      <c r="G173" s="49"/>
      <c r="H173" s="46">
        <v>37164</v>
      </c>
      <c r="I173" s="13">
        <v>2001</v>
      </c>
      <c r="J173" s="16" t="s">
        <v>12</v>
      </c>
      <c r="K173" s="16" t="s">
        <v>62</v>
      </c>
      <c r="L173" s="3" t="s">
        <v>156</v>
      </c>
      <c r="M173" s="3" t="s">
        <v>157</v>
      </c>
      <c r="N173" s="3" t="s">
        <v>158</v>
      </c>
    </row>
    <row r="174" spans="1:14" x14ac:dyDescent="0.3">
      <c r="A174" s="36" t="s">
        <v>37</v>
      </c>
      <c r="B174" s="13">
        <v>106</v>
      </c>
      <c r="C174" s="48" t="str">
        <f>HYPERLINK("https://uscode.house.gov/statutes/pl/106/569.pdf", "P.L. 106-569")</f>
        <v>P.L. 106-569</v>
      </c>
      <c r="D174" s="3" t="s">
        <v>393</v>
      </c>
      <c r="F174" s="3" t="s">
        <v>397</v>
      </c>
      <c r="G174" s="49"/>
      <c r="H174" s="46">
        <v>37894</v>
      </c>
      <c r="I174" s="13">
        <v>2003</v>
      </c>
      <c r="J174" s="16" t="s">
        <v>12</v>
      </c>
      <c r="K174" s="47">
        <v>1075000000</v>
      </c>
      <c r="L174" s="3" t="s">
        <v>156</v>
      </c>
      <c r="M174" s="3" t="s">
        <v>157</v>
      </c>
      <c r="N174" s="3" t="s">
        <v>158</v>
      </c>
    </row>
    <row r="175" spans="1:14" x14ac:dyDescent="0.3">
      <c r="A175" s="36" t="s">
        <v>37</v>
      </c>
      <c r="B175" s="13">
        <v>107</v>
      </c>
      <c r="C175" s="48" t="str">
        <f>HYPERLINK("https://uscode.house.gov/statutes/pl/107/56.pdf", "P.L. 107-56")</f>
        <v>P.L. 107-56</v>
      </c>
      <c r="D175" s="3" t="s">
        <v>398</v>
      </c>
      <c r="E175" s="3" t="s">
        <v>399</v>
      </c>
      <c r="F175" s="3" t="s">
        <v>400</v>
      </c>
      <c r="G175" s="48" t="str">
        <f>HYPERLINK("https://uscode.house.gov/view.xhtml?req=granuleid:USC-prelim-title8-section1372&amp;num=0&amp;edition=prelim", "8 U.S.C. 1372(note)")</f>
        <v>8 U.S.C. 1372(note)</v>
      </c>
      <c r="H175" s="46">
        <v>37622</v>
      </c>
      <c r="I175" s="13">
        <v>2003</v>
      </c>
      <c r="J175" s="47">
        <v>36800000</v>
      </c>
      <c r="K175" s="16" t="s">
        <v>62</v>
      </c>
      <c r="L175" s="3" t="s">
        <v>41</v>
      </c>
      <c r="M175" s="3" t="s">
        <v>42</v>
      </c>
      <c r="N175" s="3" t="s">
        <v>43</v>
      </c>
    </row>
    <row r="176" spans="1:14" x14ac:dyDescent="0.3">
      <c r="A176" s="36" t="s">
        <v>37</v>
      </c>
      <c r="B176" s="13">
        <v>107</v>
      </c>
      <c r="C176" s="48" t="str">
        <f>HYPERLINK("https://uscode.house.gov/statutes/pl/107/56.pdf", "P.L. 107-56")</f>
        <v>P.L. 107-56</v>
      </c>
      <c r="D176" s="3" t="s">
        <v>398</v>
      </c>
      <c r="F176" s="3" t="s">
        <v>401</v>
      </c>
      <c r="G176" s="49"/>
      <c r="H176" s="46">
        <v>37894</v>
      </c>
      <c r="I176" s="13">
        <v>2003</v>
      </c>
      <c r="J176" s="47">
        <v>100000000</v>
      </c>
      <c r="K176" s="16" t="s">
        <v>62</v>
      </c>
      <c r="L176" s="3" t="s">
        <v>41</v>
      </c>
      <c r="M176" s="3" t="s">
        <v>42</v>
      </c>
      <c r="N176" s="3" t="s">
        <v>43</v>
      </c>
    </row>
    <row r="177" spans="1:14" x14ac:dyDescent="0.3">
      <c r="A177" s="36" t="s">
        <v>37</v>
      </c>
      <c r="B177" s="13">
        <v>107</v>
      </c>
      <c r="C177" s="48" t="str">
        <f>HYPERLINK("https://uscode.house.gov/statutes/pl/107/56.pdf", "P.L. 107-56")</f>
        <v>P.L. 107-56</v>
      </c>
      <c r="D177" s="3" t="s">
        <v>398</v>
      </c>
      <c r="F177" s="3" t="s">
        <v>402</v>
      </c>
      <c r="G177" s="49"/>
      <c r="H177" s="46">
        <v>39355</v>
      </c>
      <c r="I177" s="13">
        <v>2007</v>
      </c>
      <c r="J177" s="16" t="s">
        <v>12</v>
      </c>
      <c r="K177" s="16" t="s">
        <v>62</v>
      </c>
      <c r="L177" s="3" t="s">
        <v>41</v>
      </c>
      <c r="M177" s="3" t="s">
        <v>42</v>
      </c>
      <c r="N177" s="3" t="s">
        <v>43</v>
      </c>
    </row>
    <row r="178" spans="1:14" x14ac:dyDescent="0.3">
      <c r="A178" s="36" t="s">
        <v>37</v>
      </c>
      <c r="B178" s="13">
        <v>107</v>
      </c>
      <c r="C178" s="48" t="str">
        <f t="shared" ref="C178:C184" si="5">HYPERLINK("https://uscode.house.gov/statutes/pl/107/188.pdf", "P.L. 107-188")</f>
        <v>P.L. 107-188</v>
      </c>
      <c r="D178" s="3" t="s">
        <v>403</v>
      </c>
      <c r="E178" s="3" t="s">
        <v>194</v>
      </c>
      <c r="F178" s="3" t="s">
        <v>404</v>
      </c>
      <c r="G178" s="48" t="str">
        <f>HYPERLINK("https://uscode.house.gov/view.xhtml?req=granuleid:USC-prelim-title42-section247d-7a&amp;num=0&amp;edition=prelim", "42 U.S.C. 247d-7a")</f>
        <v>42 U.S.C. 247d-7a</v>
      </c>
      <c r="H178" s="46">
        <v>38990</v>
      </c>
      <c r="I178" s="13">
        <v>2006</v>
      </c>
      <c r="J178" s="16" t="s">
        <v>12</v>
      </c>
      <c r="K178" s="16" t="s">
        <v>62</v>
      </c>
      <c r="L178" s="3" t="s">
        <v>60</v>
      </c>
      <c r="M178" s="3" t="s">
        <v>71</v>
      </c>
      <c r="N178" s="3" t="s">
        <v>122</v>
      </c>
    </row>
    <row r="179" spans="1:14" x14ac:dyDescent="0.3">
      <c r="A179" s="36" t="s">
        <v>37</v>
      </c>
      <c r="B179" s="13">
        <v>107</v>
      </c>
      <c r="C179" s="48" t="str">
        <f t="shared" si="5"/>
        <v>P.L. 107-188</v>
      </c>
      <c r="D179" s="3" t="s">
        <v>403</v>
      </c>
      <c r="E179" s="3" t="s">
        <v>171</v>
      </c>
      <c r="F179" s="3" t="s">
        <v>405</v>
      </c>
      <c r="G179" s="49"/>
      <c r="H179" s="46">
        <v>39355</v>
      </c>
      <c r="I179" s="13">
        <v>2007</v>
      </c>
      <c r="J179" s="16" t="s">
        <v>12</v>
      </c>
      <c r="K179" s="16" t="s">
        <v>62</v>
      </c>
      <c r="L179" s="3" t="s">
        <v>60</v>
      </c>
      <c r="M179" s="3" t="s">
        <v>71</v>
      </c>
      <c r="N179" s="3" t="s">
        <v>406</v>
      </c>
    </row>
    <row r="180" spans="1:14" x14ac:dyDescent="0.3">
      <c r="A180" s="36" t="s">
        <v>37</v>
      </c>
      <c r="B180" s="13">
        <v>107</v>
      </c>
      <c r="C180" s="48" t="str">
        <f t="shared" si="5"/>
        <v>P.L. 107-188</v>
      </c>
      <c r="D180" s="3" t="s">
        <v>403</v>
      </c>
      <c r="E180" s="3" t="s">
        <v>95</v>
      </c>
      <c r="F180" s="3" t="s">
        <v>407</v>
      </c>
      <c r="G180" s="49"/>
      <c r="H180" s="46">
        <v>38990</v>
      </c>
      <c r="I180" s="13">
        <v>2006</v>
      </c>
      <c r="J180" s="16" t="s">
        <v>12</v>
      </c>
      <c r="K180" s="16" t="s">
        <v>62</v>
      </c>
      <c r="L180" s="3" t="s">
        <v>60</v>
      </c>
      <c r="M180" s="3" t="s">
        <v>71</v>
      </c>
      <c r="N180" s="3" t="s">
        <v>406</v>
      </c>
    </row>
    <row r="181" spans="1:14" x14ac:dyDescent="0.3">
      <c r="A181" s="36" t="s">
        <v>37</v>
      </c>
      <c r="B181" s="13">
        <v>107</v>
      </c>
      <c r="C181" s="48" t="str">
        <f t="shared" si="5"/>
        <v>P.L. 107-188</v>
      </c>
      <c r="D181" s="3" t="s">
        <v>403</v>
      </c>
      <c r="E181" s="3" t="s">
        <v>408</v>
      </c>
      <c r="F181" s="3" t="s">
        <v>409</v>
      </c>
      <c r="G181" s="49"/>
      <c r="H181" s="46">
        <v>38990</v>
      </c>
      <c r="I181" s="13">
        <v>2006</v>
      </c>
      <c r="J181" s="16" t="s">
        <v>12</v>
      </c>
      <c r="K181" s="16" t="s">
        <v>62</v>
      </c>
      <c r="L181" s="3" t="s">
        <v>60</v>
      </c>
      <c r="M181" s="3" t="s">
        <v>71</v>
      </c>
      <c r="N181" s="3" t="s">
        <v>406</v>
      </c>
    </row>
    <row r="182" spans="1:14" x14ac:dyDescent="0.3">
      <c r="A182" s="36" t="s">
        <v>37</v>
      </c>
      <c r="B182" s="13">
        <v>107</v>
      </c>
      <c r="C182" s="48" t="str">
        <f t="shared" si="5"/>
        <v>P.L. 107-188</v>
      </c>
      <c r="D182" s="3" t="s">
        <v>403</v>
      </c>
      <c r="E182" s="3" t="s">
        <v>410</v>
      </c>
      <c r="F182" s="3" t="s">
        <v>411</v>
      </c>
      <c r="G182" s="49"/>
      <c r="H182" s="46">
        <v>38990</v>
      </c>
      <c r="I182" s="13">
        <v>2006</v>
      </c>
      <c r="J182" s="16" t="s">
        <v>12</v>
      </c>
      <c r="K182" s="16" t="s">
        <v>62</v>
      </c>
      <c r="L182" s="3" t="s">
        <v>60</v>
      </c>
      <c r="M182" s="3" t="s">
        <v>71</v>
      </c>
      <c r="N182" s="3" t="s">
        <v>406</v>
      </c>
    </row>
    <row r="183" spans="1:14" x14ac:dyDescent="0.3">
      <c r="A183" s="36" t="s">
        <v>37</v>
      </c>
      <c r="B183" s="13">
        <v>107</v>
      </c>
      <c r="C183" s="48" t="str">
        <f t="shared" si="5"/>
        <v>P.L. 107-188</v>
      </c>
      <c r="D183" s="3" t="s">
        <v>403</v>
      </c>
      <c r="E183" s="3" t="s">
        <v>412</v>
      </c>
      <c r="F183" s="3" t="s">
        <v>413</v>
      </c>
      <c r="G183" s="49"/>
      <c r="H183" s="46">
        <v>38990</v>
      </c>
      <c r="I183" s="13">
        <v>2006</v>
      </c>
      <c r="J183" s="16" t="s">
        <v>12</v>
      </c>
      <c r="K183" s="16" t="s">
        <v>62</v>
      </c>
      <c r="L183" s="3" t="s">
        <v>60</v>
      </c>
      <c r="M183" s="3" t="s">
        <v>71</v>
      </c>
      <c r="N183" s="3" t="s">
        <v>406</v>
      </c>
    </row>
    <row r="184" spans="1:14" x14ac:dyDescent="0.3">
      <c r="A184" s="36" t="s">
        <v>37</v>
      </c>
      <c r="B184" s="13">
        <v>107</v>
      </c>
      <c r="C184" s="48" t="str">
        <f t="shared" si="5"/>
        <v>P.L. 107-188</v>
      </c>
      <c r="D184" s="3" t="s">
        <v>403</v>
      </c>
      <c r="E184" s="3" t="s">
        <v>91</v>
      </c>
      <c r="F184" s="3" t="s">
        <v>414</v>
      </c>
      <c r="G184" s="48" t="str">
        <f>HYPERLINK("https://uscode.house.gov/view.xhtml?req=granuleid:USC-prelim-title42-section5197h&amp;num=0&amp;edition=prelim", "42 U.S.C. 5197h")</f>
        <v>42 U.S.C. 5197h</v>
      </c>
      <c r="H184" s="46">
        <v>38625</v>
      </c>
      <c r="I184" s="13">
        <v>2005</v>
      </c>
      <c r="J184" s="16" t="s">
        <v>12</v>
      </c>
      <c r="K184" s="16" t="s">
        <v>62</v>
      </c>
      <c r="L184" s="3" t="s">
        <v>60</v>
      </c>
      <c r="M184" s="3" t="s">
        <v>71</v>
      </c>
      <c r="N184" s="3" t="s">
        <v>122</v>
      </c>
    </row>
    <row r="185" spans="1:14" x14ac:dyDescent="0.3">
      <c r="A185" s="36" t="s">
        <v>37</v>
      </c>
      <c r="B185" s="13">
        <v>107</v>
      </c>
      <c r="C185" s="48" t="str">
        <f>HYPERLINK("https://uscode.house.gov/statutes/pl/107/210.pdf", "P.L. 107-210")</f>
        <v>P.L. 107-210</v>
      </c>
      <c r="D185" s="3" t="s">
        <v>415</v>
      </c>
      <c r="E185" s="3" t="s">
        <v>416</v>
      </c>
      <c r="F185" s="3" t="s">
        <v>417</v>
      </c>
      <c r="G185" s="48" t="str">
        <f>HYPERLINK("https://uscode.house.gov/view.xhtml?req=granuleid:USC-prelim-title19-section2171&amp;num=0&amp;edition=prelim", "19 U.S.C. 2171(g)(1)")</f>
        <v>19 U.S.C. 2171(g)(1)</v>
      </c>
      <c r="H185" s="46">
        <v>38260</v>
      </c>
      <c r="I185" s="13">
        <v>2004</v>
      </c>
      <c r="J185" s="47">
        <v>33108000</v>
      </c>
      <c r="K185" s="47">
        <v>61000000</v>
      </c>
      <c r="L185" s="3" t="s">
        <v>292</v>
      </c>
      <c r="M185" s="3" t="s">
        <v>418</v>
      </c>
      <c r="N185" s="3" t="s">
        <v>43</v>
      </c>
    </row>
    <row r="186" spans="1:14" x14ac:dyDescent="0.3">
      <c r="A186" s="36" t="s">
        <v>37</v>
      </c>
      <c r="B186" s="13">
        <v>107</v>
      </c>
      <c r="C186" s="48" t="str">
        <f>HYPERLINK("https://uscode.house.gov/statutes/pl/107/210.pdf", "P.L. 107-210")</f>
        <v>P.L. 107-210</v>
      </c>
      <c r="D186" s="3" t="s">
        <v>415</v>
      </c>
      <c r="E186" s="3" t="s">
        <v>419</v>
      </c>
      <c r="F186" s="3" t="s">
        <v>420</v>
      </c>
      <c r="G186" s="48" t="str">
        <f>HYPERLINK("https://uscode.house.gov/view.xhtml?req=granuleid:USC-prelim-title19-section1330&amp;num=0&amp;edition=prelim", "19 U.S.C. 1330(e)(2)")</f>
        <v>19 U.S.C. 1330(e)(2)</v>
      </c>
      <c r="H186" s="46">
        <v>38260</v>
      </c>
      <c r="I186" s="13">
        <v>2004</v>
      </c>
      <c r="J186" s="47">
        <v>57240000</v>
      </c>
      <c r="K186" s="47">
        <v>122400000</v>
      </c>
      <c r="L186" s="3" t="s">
        <v>292</v>
      </c>
      <c r="M186" s="3" t="s">
        <v>418</v>
      </c>
      <c r="N186" s="3" t="s">
        <v>43</v>
      </c>
    </row>
    <row r="187" spans="1:14" x14ac:dyDescent="0.3">
      <c r="A187" s="36" t="s">
        <v>37</v>
      </c>
      <c r="B187" s="13">
        <v>107</v>
      </c>
      <c r="C187" s="48" t="str">
        <f t="shared" ref="C187:C215" si="6">HYPERLINK("https://uscode.house.gov/statutes/pl/107/228.pdf", "P.L. 107-228")</f>
        <v>P.L. 107-228</v>
      </c>
      <c r="D187" s="3" t="s">
        <v>421</v>
      </c>
      <c r="E187" s="3" t="s">
        <v>422</v>
      </c>
      <c r="F187" s="3" t="s">
        <v>423</v>
      </c>
      <c r="G187" s="49"/>
      <c r="H187" s="46">
        <v>37894</v>
      </c>
      <c r="I187" s="13">
        <v>2003</v>
      </c>
      <c r="J187" s="47">
        <v>4030023000</v>
      </c>
      <c r="K187" s="47">
        <v>9832663000</v>
      </c>
      <c r="L187" s="3" t="s">
        <v>80</v>
      </c>
      <c r="M187" s="3" t="s">
        <v>81</v>
      </c>
      <c r="N187" s="3" t="s">
        <v>82</v>
      </c>
    </row>
    <row r="188" spans="1:14" x14ac:dyDescent="0.3">
      <c r="A188" s="36" t="s">
        <v>37</v>
      </c>
      <c r="B188" s="13">
        <v>107</v>
      </c>
      <c r="C188" s="48" t="str">
        <f t="shared" si="6"/>
        <v>P.L. 107-228</v>
      </c>
      <c r="D188" s="3" t="s">
        <v>421</v>
      </c>
      <c r="E188" s="3" t="s">
        <v>424</v>
      </c>
      <c r="F188" s="3" t="s">
        <v>425</v>
      </c>
      <c r="G188" s="49"/>
      <c r="H188" s="46">
        <v>37894</v>
      </c>
      <c r="I188" s="13">
        <v>2003</v>
      </c>
      <c r="J188" s="47">
        <v>200000000</v>
      </c>
      <c r="K188" s="47">
        <v>389000000</v>
      </c>
      <c r="L188" s="3" t="s">
        <v>80</v>
      </c>
      <c r="M188" s="3" t="s">
        <v>81</v>
      </c>
      <c r="N188" s="3" t="s">
        <v>82</v>
      </c>
    </row>
    <row r="189" spans="1:14" x14ac:dyDescent="0.3">
      <c r="A189" s="36" t="s">
        <v>37</v>
      </c>
      <c r="B189" s="13">
        <v>107</v>
      </c>
      <c r="C189" s="48" t="str">
        <f t="shared" si="6"/>
        <v>P.L. 107-228</v>
      </c>
      <c r="D189" s="3" t="s">
        <v>421</v>
      </c>
      <c r="E189" s="3" t="s">
        <v>426</v>
      </c>
      <c r="F189" s="3" t="s">
        <v>427</v>
      </c>
      <c r="G189" s="49"/>
      <c r="H189" s="46">
        <v>37894</v>
      </c>
      <c r="I189" s="13">
        <v>2003</v>
      </c>
      <c r="J189" s="47">
        <v>1555000000</v>
      </c>
      <c r="K189" s="47">
        <v>1957821000</v>
      </c>
      <c r="L189" s="3" t="s">
        <v>80</v>
      </c>
      <c r="M189" s="3" t="s">
        <v>81</v>
      </c>
      <c r="N189" s="3" t="s">
        <v>82</v>
      </c>
    </row>
    <row r="190" spans="1:14" x14ac:dyDescent="0.3">
      <c r="A190" s="36" t="s">
        <v>37</v>
      </c>
      <c r="B190" s="13">
        <v>107</v>
      </c>
      <c r="C190" s="48" t="str">
        <f t="shared" si="6"/>
        <v>P.L. 107-228</v>
      </c>
      <c r="D190" s="3" t="s">
        <v>421</v>
      </c>
      <c r="E190" s="3" t="s">
        <v>428</v>
      </c>
      <c r="F190" s="3" t="s">
        <v>429</v>
      </c>
      <c r="G190" s="49"/>
      <c r="H190" s="46">
        <v>37894</v>
      </c>
      <c r="I190" s="13">
        <v>2003</v>
      </c>
      <c r="J190" s="47">
        <v>9000000</v>
      </c>
      <c r="K190" s="47">
        <v>7415000</v>
      </c>
      <c r="L190" s="3" t="s">
        <v>80</v>
      </c>
      <c r="M190" s="3" t="s">
        <v>81</v>
      </c>
      <c r="N190" s="3" t="s">
        <v>82</v>
      </c>
    </row>
    <row r="191" spans="1:14" x14ac:dyDescent="0.3">
      <c r="A191" s="36" t="s">
        <v>37</v>
      </c>
      <c r="B191" s="13">
        <v>107</v>
      </c>
      <c r="C191" s="48" t="str">
        <f t="shared" si="6"/>
        <v>P.L. 107-228</v>
      </c>
      <c r="D191" s="3" t="s">
        <v>421</v>
      </c>
      <c r="E191" s="3" t="s">
        <v>430</v>
      </c>
      <c r="F191" s="3" t="s">
        <v>431</v>
      </c>
      <c r="G191" s="49"/>
      <c r="H191" s="46">
        <v>37894</v>
      </c>
      <c r="I191" s="13">
        <v>2003</v>
      </c>
      <c r="J191" s="47">
        <v>11000000</v>
      </c>
      <c r="K191" s="47">
        <v>30890000</v>
      </c>
      <c r="L191" s="3" t="s">
        <v>80</v>
      </c>
      <c r="M191" s="3" t="s">
        <v>81</v>
      </c>
      <c r="N191" s="3" t="s">
        <v>82</v>
      </c>
    </row>
    <row r="192" spans="1:14" x14ac:dyDescent="0.3">
      <c r="A192" s="36" t="s">
        <v>37</v>
      </c>
      <c r="B192" s="13">
        <v>107</v>
      </c>
      <c r="C192" s="48" t="str">
        <f t="shared" si="6"/>
        <v>P.L. 107-228</v>
      </c>
      <c r="D192" s="3" t="s">
        <v>421</v>
      </c>
      <c r="E192" s="3" t="s">
        <v>432</v>
      </c>
      <c r="F192" s="3" t="s">
        <v>433</v>
      </c>
      <c r="G192" s="49"/>
      <c r="H192" s="46">
        <v>37894</v>
      </c>
      <c r="I192" s="13">
        <v>2003</v>
      </c>
      <c r="J192" s="47">
        <v>15000000</v>
      </c>
      <c r="K192" s="47">
        <v>8885000</v>
      </c>
      <c r="L192" s="3" t="s">
        <v>80</v>
      </c>
      <c r="M192" s="3" t="s">
        <v>81</v>
      </c>
      <c r="N192" s="3" t="s">
        <v>82</v>
      </c>
    </row>
    <row r="193" spans="1:14" x14ac:dyDescent="0.3">
      <c r="A193" s="36" t="s">
        <v>37</v>
      </c>
      <c r="B193" s="13">
        <v>107</v>
      </c>
      <c r="C193" s="48" t="str">
        <f t="shared" si="6"/>
        <v>P.L. 107-228</v>
      </c>
      <c r="D193" s="3" t="s">
        <v>421</v>
      </c>
      <c r="E193" s="3" t="s">
        <v>434</v>
      </c>
      <c r="F193" s="3" t="s">
        <v>435</v>
      </c>
      <c r="G193" s="49"/>
      <c r="H193" s="46">
        <v>37894</v>
      </c>
      <c r="I193" s="13">
        <v>2003</v>
      </c>
      <c r="J193" s="47">
        <v>1250000</v>
      </c>
      <c r="K193" s="47">
        <v>1300000</v>
      </c>
      <c r="L193" s="3" t="s">
        <v>80</v>
      </c>
      <c r="M193" s="3" t="s">
        <v>81</v>
      </c>
      <c r="N193" s="3" t="s">
        <v>82</v>
      </c>
    </row>
    <row r="194" spans="1:14" x14ac:dyDescent="0.3">
      <c r="A194" s="36" t="s">
        <v>37</v>
      </c>
      <c r="B194" s="13">
        <v>107</v>
      </c>
      <c r="C194" s="48" t="str">
        <f t="shared" si="6"/>
        <v>P.L. 107-228</v>
      </c>
      <c r="D194" s="3" t="s">
        <v>421</v>
      </c>
      <c r="E194" s="3" t="s">
        <v>436</v>
      </c>
      <c r="F194" s="3" t="s">
        <v>437</v>
      </c>
      <c r="G194" s="49"/>
      <c r="H194" s="46">
        <v>37894</v>
      </c>
      <c r="I194" s="13">
        <v>2003</v>
      </c>
      <c r="J194" s="47">
        <v>30800000</v>
      </c>
      <c r="K194" s="47">
        <v>104000000</v>
      </c>
      <c r="L194" s="3" t="s">
        <v>80</v>
      </c>
      <c r="M194" s="3" t="s">
        <v>81</v>
      </c>
      <c r="N194" s="3" t="s">
        <v>82</v>
      </c>
    </row>
    <row r="195" spans="1:14" x14ac:dyDescent="0.3">
      <c r="A195" s="36" t="s">
        <v>37</v>
      </c>
      <c r="B195" s="13">
        <v>107</v>
      </c>
      <c r="C195" s="48" t="str">
        <f t="shared" si="6"/>
        <v>P.L. 107-228</v>
      </c>
      <c r="D195" s="3" t="s">
        <v>421</v>
      </c>
      <c r="F195" s="3" t="s">
        <v>438</v>
      </c>
      <c r="G195" s="49"/>
      <c r="H195" s="46">
        <v>37894</v>
      </c>
      <c r="I195" s="13">
        <v>2003</v>
      </c>
      <c r="J195" s="47">
        <v>135000000</v>
      </c>
      <c r="K195" s="47">
        <v>777500000</v>
      </c>
      <c r="L195" s="3" t="s">
        <v>80</v>
      </c>
      <c r="M195" s="3" t="s">
        <v>81</v>
      </c>
      <c r="N195" s="3" t="s">
        <v>82</v>
      </c>
    </row>
    <row r="196" spans="1:14" x14ac:dyDescent="0.3">
      <c r="A196" s="36" t="s">
        <v>37</v>
      </c>
      <c r="B196" s="13">
        <v>107</v>
      </c>
      <c r="C196" s="48" t="str">
        <f t="shared" si="6"/>
        <v>P.L. 107-228</v>
      </c>
      <c r="D196" s="3" t="s">
        <v>421</v>
      </c>
      <c r="F196" s="3" t="s">
        <v>439</v>
      </c>
      <c r="G196" s="49"/>
      <c r="H196" s="46">
        <v>37894</v>
      </c>
      <c r="I196" s="13">
        <v>2003</v>
      </c>
      <c r="J196" s="47">
        <v>125000000</v>
      </c>
      <c r="K196" s="16" t="s">
        <v>62</v>
      </c>
      <c r="L196" s="3" t="s">
        <v>80</v>
      </c>
      <c r="M196" s="3" t="s">
        <v>81</v>
      </c>
      <c r="N196" s="3" t="s">
        <v>82</v>
      </c>
    </row>
    <row r="197" spans="1:14" x14ac:dyDescent="0.3">
      <c r="A197" s="36" t="s">
        <v>37</v>
      </c>
      <c r="B197" s="13">
        <v>107</v>
      </c>
      <c r="C197" s="48" t="str">
        <f t="shared" si="6"/>
        <v>P.L. 107-228</v>
      </c>
      <c r="D197" s="3" t="s">
        <v>421</v>
      </c>
      <c r="E197" s="3" t="s">
        <v>440</v>
      </c>
      <c r="F197" s="3" t="s">
        <v>441</v>
      </c>
      <c r="G197" s="49"/>
      <c r="H197" s="46">
        <v>37894</v>
      </c>
      <c r="I197" s="13">
        <v>2003</v>
      </c>
      <c r="J197" s="47">
        <v>42000000</v>
      </c>
      <c r="K197" s="47">
        <v>315000000</v>
      </c>
      <c r="L197" s="3" t="s">
        <v>80</v>
      </c>
      <c r="M197" s="3" t="s">
        <v>81</v>
      </c>
      <c r="N197" s="3" t="s">
        <v>82</v>
      </c>
    </row>
    <row r="198" spans="1:14" x14ac:dyDescent="0.3">
      <c r="A198" s="36" t="s">
        <v>37</v>
      </c>
      <c r="B198" s="13">
        <v>107</v>
      </c>
      <c r="C198" s="48" t="str">
        <f t="shared" si="6"/>
        <v>P.L. 107-228</v>
      </c>
      <c r="D198" s="3" t="s">
        <v>421</v>
      </c>
      <c r="E198" s="3" t="s">
        <v>442</v>
      </c>
      <c r="F198" s="3" t="s">
        <v>443</v>
      </c>
      <c r="G198" s="49"/>
      <c r="H198" s="46">
        <v>37894</v>
      </c>
      <c r="I198" s="13">
        <v>2003</v>
      </c>
      <c r="J198" s="47">
        <v>15000000</v>
      </c>
      <c r="K198" s="47">
        <v>22000000</v>
      </c>
      <c r="L198" s="3" t="s">
        <v>80</v>
      </c>
      <c r="M198" s="3" t="s">
        <v>81</v>
      </c>
      <c r="N198" s="3" t="s">
        <v>82</v>
      </c>
    </row>
    <row r="199" spans="1:14" x14ac:dyDescent="0.3">
      <c r="A199" s="36" t="s">
        <v>37</v>
      </c>
      <c r="B199" s="13">
        <v>107</v>
      </c>
      <c r="C199" s="48" t="str">
        <f t="shared" si="6"/>
        <v>P.L. 107-228</v>
      </c>
      <c r="D199" s="3" t="s">
        <v>421</v>
      </c>
      <c r="F199" s="3" t="s">
        <v>444</v>
      </c>
      <c r="G199" s="49"/>
      <c r="H199" s="46">
        <v>37894</v>
      </c>
      <c r="I199" s="13">
        <v>2003</v>
      </c>
      <c r="J199" s="47">
        <v>2500000</v>
      </c>
      <c r="K199" s="16" t="s">
        <v>62</v>
      </c>
      <c r="L199" s="3" t="s">
        <v>80</v>
      </c>
      <c r="M199" s="3" t="s">
        <v>81</v>
      </c>
      <c r="N199" s="3" t="s">
        <v>82</v>
      </c>
    </row>
    <row r="200" spans="1:14" x14ac:dyDescent="0.3">
      <c r="A200" s="36" t="s">
        <v>37</v>
      </c>
      <c r="B200" s="13">
        <v>107</v>
      </c>
      <c r="C200" s="48" t="str">
        <f t="shared" si="6"/>
        <v>P.L. 107-228</v>
      </c>
      <c r="D200" s="3" t="s">
        <v>421</v>
      </c>
      <c r="E200" s="3" t="s">
        <v>445</v>
      </c>
      <c r="F200" s="3" t="s">
        <v>446</v>
      </c>
      <c r="G200" s="49"/>
      <c r="H200" s="46">
        <v>37894</v>
      </c>
      <c r="I200" s="13">
        <v>2003</v>
      </c>
      <c r="J200" s="47">
        <v>891378000</v>
      </c>
      <c r="K200" s="47">
        <v>1438000000</v>
      </c>
      <c r="L200" s="3" t="s">
        <v>80</v>
      </c>
      <c r="M200" s="3" t="s">
        <v>81</v>
      </c>
      <c r="N200" s="3" t="s">
        <v>82</v>
      </c>
    </row>
    <row r="201" spans="1:14" x14ac:dyDescent="0.3">
      <c r="A201" s="36" t="s">
        <v>37</v>
      </c>
      <c r="B201" s="13">
        <v>107</v>
      </c>
      <c r="C201" s="48" t="str">
        <f t="shared" si="6"/>
        <v>P.L. 107-228</v>
      </c>
      <c r="D201" s="3" t="s">
        <v>421</v>
      </c>
      <c r="E201" s="3" t="s">
        <v>447</v>
      </c>
      <c r="F201" s="3" t="s">
        <v>448</v>
      </c>
      <c r="G201" s="49"/>
      <c r="H201" s="46">
        <v>37894</v>
      </c>
      <c r="I201" s="13">
        <v>2003</v>
      </c>
      <c r="J201" s="47">
        <v>725891000</v>
      </c>
      <c r="K201" s="47">
        <v>1481915000</v>
      </c>
      <c r="L201" s="3" t="s">
        <v>80</v>
      </c>
      <c r="M201" s="3" t="s">
        <v>81</v>
      </c>
      <c r="N201" s="3" t="s">
        <v>82</v>
      </c>
    </row>
    <row r="202" spans="1:14" x14ac:dyDescent="0.3">
      <c r="A202" s="36" t="s">
        <v>37</v>
      </c>
      <c r="B202" s="13">
        <v>107</v>
      </c>
      <c r="C202" s="48" t="str">
        <f t="shared" si="6"/>
        <v>P.L. 107-228</v>
      </c>
      <c r="D202" s="3" t="s">
        <v>421</v>
      </c>
      <c r="E202" s="3" t="s">
        <v>449</v>
      </c>
      <c r="F202" s="3" t="s">
        <v>450</v>
      </c>
      <c r="G202" s="49"/>
      <c r="H202" s="46">
        <v>37894</v>
      </c>
      <c r="I202" s="13">
        <v>2003</v>
      </c>
      <c r="J202" s="16" t="s">
        <v>12</v>
      </c>
      <c r="K202" s="16" t="s">
        <v>62</v>
      </c>
      <c r="L202" s="3" t="s">
        <v>80</v>
      </c>
      <c r="M202" s="3" t="s">
        <v>81</v>
      </c>
      <c r="N202" s="3" t="s">
        <v>82</v>
      </c>
    </row>
    <row r="203" spans="1:14" x14ac:dyDescent="0.3">
      <c r="A203" s="36" t="s">
        <v>37</v>
      </c>
      <c r="B203" s="13">
        <v>107</v>
      </c>
      <c r="C203" s="48" t="str">
        <f t="shared" si="6"/>
        <v>P.L. 107-228</v>
      </c>
      <c r="D203" s="3" t="s">
        <v>421</v>
      </c>
      <c r="F203" s="3" t="s">
        <v>451</v>
      </c>
      <c r="G203" s="49"/>
      <c r="H203" s="46">
        <v>37894</v>
      </c>
      <c r="I203" s="13">
        <v>2003</v>
      </c>
      <c r="J203" s="47">
        <v>28387000</v>
      </c>
      <c r="K203" s="47">
        <v>57935000</v>
      </c>
      <c r="L203" s="3" t="s">
        <v>80</v>
      </c>
      <c r="M203" s="3" t="s">
        <v>81</v>
      </c>
      <c r="N203" s="3" t="s">
        <v>82</v>
      </c>
    </row>
    <row r="204" spans="1:14" x14ac:dyDescent="0.3">
      <c r="A204" s="36" t="s">
        <v>37</v>
      </c>
      <c r="B204" s="13">
        <v>107</v>
      </c>
      <c r="C204" s="48" t="str">
        <f t="shared" si="6"/>
        <v>P.L. 107-228</v>
      </c>
      <c r="D204" s="3" t="s">
        <v>421</v>
      </c>
      <c r="E204" s="3" t="s">
        <v>452</v>
      </c>
      <c r="F204" s="3" t="s">
        <v>453</v>
      </c>
      <c r="G204" s="49"/>
      <c r="H204" s="46">
        <v>37894</v>
      </c>
      <c r="I204" s="13">
        <v>2003</v>
      </c>
      <c r="J204" s="47">
        <v>9517000</v>
      </c>
      <c r="K204" s="47">
        <v>53030000</v>
      </c>
      <c r="L204" s="3" t="s">
        <v>80</v>
      </c>
      <c r="M204" s="3" t="s">
        <v>81</v>
      </c>
      <c r="N204" s="3" t="s">
        <v>82</v>
      </c>
    </row>
    <row r="205" spans="1:14" x14ac:dyDescent="0.3">
      <c r="A205" s="36" t="s">
        <v>37</v>
      </c>
      <c r="B205" s="13">
        <v>107</v>
      </c>
      <c r="C205" s="48" t="str">
        <f t="shared" si="6"/>
        <v>P.L. 107-228</v>
      </c>
      <c r="D205" s="3" t="s">
        <v>421</v>
      </c>
      <c r="F205" s="3" t="s">
        <v>454</v>
      </c>
      <c r="G205" s="49"/>
      <c r="H205" s="46">
        <v>37894</v>
      </c>
      <c r="I205" s="13">
        <v>2003</v>
      </c>
      <c r="J205" s="47">
        <v>1157000</v>
      </c>
      <c r="K205" s="47">
        <v>16204000</v>
      </c>
      <c r="L205" s="3" t="s">
        <v>80</v>
      </c>
      <c r="M205" s="3" t="s">
        <v>81</v>
      </c>
      <c r="N205" s="3" t="s">
        <v>82</v>
      </c>
    </row>
    <row r="206" spans="1:14" x14ac:dyDescent="0.3">
      <c r="A206" s="36" t="s">
        <v>37</v>
      </c>
      <c r="B206" s="13">
        <v>107</v>
      </c>
      <c r="C206" s="48" t="str">
        <f t="shared" si="6"/>
        <v>P.L. 107-228</v>
      </c>
      <c r="D206" s="3" t="s">
        <v>421</v>
      </c>
      <c r="E206" s="3" t="s">
        <v>455</v>
      </c>
      <c r="F206" s="3" t="s">
        <v>456</v>
      </c>
      <c r="G206" s="49"/>
      <c r="H206" s="46">
        <v>37894</v>
      </c>
      <c r="I206" s="13">
        <v>2003</v>
      </c>
      <c r="J206" s="47">
        <v>19780000</v>
      </c>
      <c r="K206" s="47">
        <v>65719000</v>
      </c>
      <c r="L206" s="3" t="s">
        <v>80</v>
      </c>
      <c r="M206" s="3" t="s">
        <v>81</v>
      </c>
      <c r="N206" s="3" t="s">
        <v>82</v>
      </c>
    </row>
    <row r="207" spans="1:14" x14ac:dyDescent="0.3">
      <c r="A207" s="36" t="s">
        <v>37</v>
      </c>
      <c r="B207" s="13">
        <v>107</v>
      </c>
      <c r="C207" s="48" t="str">
        <f t="shared" si="6"/>
        <v>P.L. 107-228</v>
      </c>
      <c r="D207" s="3" t="s">
        <v>421</v>
      </c>
      <c r="E207" s="3" t="s">
        <v>457</v>
      </c>
      <c r="F207" s="3" t="s">
        <v>458</v>
      </c>
      <c r="G207" s="49"/>
      <c r="H207" s="46">
        <v>37894</v>
      </c>
      <c r="I207" s="13">
        <v>2003</v>
      </c>
      <c r="J207" s="47">
        <v>820000000</v>
      </c>
      <c r="K207" s="47">
        <v>4447236000</v>
      </c>
      <c r="L207" s="3" t="s">
        <v>80</v>
      </c>
      <c r="M207" s="3" t="s">
        <v>81</v>
      </c>
      <c r="N207" s="3" t="s">
        <v>82</v>
      </c>
    </row>
    <row r="208" spans="1:14" x14ac:dyDescent="0.3">
      <c r="A208" s="36" t="s">
        <v>37</v>
      </c>
      <c r="B208" s="13">
        <v>107</v>
      </c>
      <c r="C208" s="48" t="str">
        <f t="shared" si="6"/>
        <v>P.L. 107-228</v>
      </c>
      <c r="D208" s="3" t="s">
        <v>421</v>
      </c>
      <c r="E208" s="3" t="s">
        <v>459</v>
      </c>
      <c r="F208" s="3" t="s">
        <v>460</v>
      </c>
      <c r="G208" s="49"/>
      <c r="H208" s="46">
        <v>37894</v>
      </c>
      <c r="I208" s="13">
        <v>2003</v>
      </c>
      <c r="J208" s="47">
        <v>15000000</v>
      </c>
      <c r="K208" s="47">
        <v>22000000</v>
      </c>
      <c r="L208" s="3" t="s">
        <v>80</v>
      </c>
      <c r="M208" s="3" t="s">
        <v>81</v>
      </c>
      <c r="N208" s="3" t="s">
        <v>82</v>
      </c>
    </row>
    <row r="209" spans="1:14" x14ac:dyDescent="0.3">
      <c r="A209" s="36" t="s">
        <v>37</v>
      </c>
      <c r="B209" s="13">
        <v>107</v>
      </c>
      <c r="C209" s="48" t="str">
        <f t="shared" si="6"/>
        <v>P.L. 107-228</v>
      </c>
      <c r="D209" s="3" t="s">
        <v>421</v>
      </c>
      <c r="E209" s="3" t="s">
        <v>461</v>
      </c>
      <c r="F209" s="3" t="s">
        <v>462</v>
      </c>
      <c r="G209" s="49"/>
      <c r="H209" s="46">
        <v>37894</v>
      </c>
      <c r="I209" s="13">
        <v>2003</v>
      </c>
      <c r="J209" s="47">
        <v>485823000</v>
      </c>
      <c r="K209" s="47">
        <v>875000000</v>
      </c>
      <c r="L209" s="3" t="s">
        <v>80</v>
      </c>
      <c r="M209" s="3" t="s">
        <v>81</v>
      </c>
      <c r="N209" s="3" t="s">
        <v>82</v>
      </c>
    </row>
    <row r="210" spans="1:14" x14ac:dyDescent="0.3">
      <c r="A210" s="36" t="s">
        <v>37</v>
      </c>
      <c r="B210" s="13">
        <v>107</v>
      </c>
      <c r="C210" s="48" t="str">
        <f t="shared" si="6"/>
        <v>P.L. 107-228</v>
      </c>
      <c r="D210" s="3" t="s">
        <v>421</v>
      </c>
      <c r="E210" s="3" t="s">
        <v>463</v>
      </c>
      <c r="F210" s="3" t="s">
        <v>464</v>
      </c>
      <c r="G210" s="48" t="str">
        <f>HYPERLINK("https://uscode.house.gov/view.xhtml?req=granuleid:USC-prelim-title22-section7001&amp;num=0&amp;edition=prelim", "22 U.S.C. 7001(a)")</f>
        <v>22 U.S.C. 7001(a)</v>
      </c>
      <c r="H210" s="46">
        <v>37894</v>
      </c>
      <c r="I210" s="13">
        <v>2003</v>
      </c>
      <c r="J210" s="47">
        <v>65000000</v>
      </c>
      <c r="K210" s="47">
        <v>9700000</v>
      </c>
      <c r="L210" s="3" t="s">
        <v>80</v>
      </c>
      <c r="M210" s="3" t="s">
        <v>81</v>
      </c>
      <c r="N210" s="3" t="s">
        <v>82</v>
      </c>
    </row>
    <row r="211" spans="1:14" x14ac:dyDescent="0.3">
      <c r="A211" s="36" t="s">
        <v>37</v>
      </c>
      <c r="B211" s="13">
        <v>107</v>
      </c>
      <c r="C211" s="48" t="str">
        <f t="shared" si="6"/>
        <v>P.L. 107-228</v>
      </c>
      <c r="D211" s="3" t="s">
        <v>421</v>
      </c>
      <c r="E211" s="3" t="s">
        <v>465</v>
      </c>
      <c r="F211" s="3" t="s">
        <v>466</v>
      </c>
      <c r="G211" s="49"/>
      <c r="H211" s="46">
        <v>37894</v>
      </c>
      <c r="I211" s="13">
        <v>2003</v>
      </c>
      <c r="J211" s="47">
        <v>20000000</v>
      </c>
      <c r="K211" s="16" t="s">
        <v>62</v>
      </c>
      <c r="L211" s="3" t="s">
        <v>80</v>
      </c>
      <c r="M211" s="3" t="s">
        <v>81</v>
      </c>
      <c r="N211" s="3" t="s">
        <v>82</v>
      </c>
    </row>
    <row r="212" spans="1:14" x14ac:dyDescent="0.3">
      <c r="A212" s="36" t="s">
        <v>37</v>
      </c>
      <c r="B212" s="13">
        <v>107</v>
      </c>
      <c r="C212" s="48" t="str">
        <f t="shared" si="6"/>
        <v>P.L. 107-228</v>
      </c>
      <c r="D212" s="3" t="s">
        <v>421</v>
      </c>
      <c r="E212" s="3" t="s">
        <v>467</v>
      </c>
      <c r="F212" s="3" t="s">
        <v>468</v>
      </c>
      <c r="G212" s="49"/>
      <c r="H212" s="46">
        <v>37894</v>
      </c>
      <c r="I212" s="13">
        <v>2003</v>
      </c>
      <c r="J212" s="47">
        <v>4107200000</v>
      </c>
      <c r="K212" s="47">
        <v>6053049000</v>
      </c>
      <c r="L212" s="3" t="s">
        <v>80</v>
      </c>
      <c r="M212" s="3" t="s">
        <v>81</v>
      </c>
      <c r="N212" s="3" t="s">
        <v>82</v>
      </c>
    </row>
    <row r="213" spans="1:14" x14ac:dyDescent="0.3">
      <c r="A213" s="36" t="s">
        <v>37</v>
      </c>
      <c r="B213" s="13">
        <v>107</v>
      </c>
      <c r="C213" s="48" t="str">
        <f t="shared" si="6"/>
        <v>P.L. 107-228</v>
      </c>
      <c r="D213" s="3" t="s">
        <v>421</v>
      </c>
      <c r="E213" s="3" t="s">
        <v>469</v>
      </c>
      <c r="F213" s="3" t="s">
        <v>470</v>
      </c>
      <c r="G213" s="49"/>
      <c r="H213" s="46">
        <v>37894</v>
      </c>
      <c r="I213" s="13">
        <v>2003</v>
      </c>
      <c r="J213" s="47">
        <v>85000000</v>
      </c>
      <c r="K213" s="47">
        <v>112925000</v>
      </c>
      <c r="L213" s="3" t="s">
        <v>80</v>
      </c>
      <c r="M213" s="3" t="s">
        <v>81</v>
      </c>
      <c r="N213" s="3" t="s">
        <v>82</v>
      </c>
    </row>
    <row r="214" spans="1:14" x14ac:dyDescent="0.3">
      <c r="A214" s="36" t="s">
        <v>37</v>
      </c>
      <c r="B214" s="13">
        <v>107</v>
      </c>
      <c r="C214" s="48" t="str">
        <f t="shared" si="6"/>
        <v>P.L. 107-228</v>
      </c>
      <c r="D214" s="3" t="s">
        <v>421</v>
      </c>
      <c r="E214" s="3" t="s">
        <v>471</v>
      </c>
      <c r="F214" s="3" t="s">
        <v>472</v>
      </c>
      <c r="G214" s="49"/>
      <c r="H214" s="46">
        <v>37894</v>
      </c>
      <c r="I214" s="13">
        <v>2003</v>
      </c>
      <c r="J214" s="47">
        <v>25923000</v>
      </c>
      <c r="K214" s="16" t="s">
        <v>62</v>
      </c>
      <c r="L214" s="3" t="s">
        <v>80</v>
      </c>
      <c r="M214" s="3" t="s">
        <v>81</v>
      </c>
      <c r="N214" s="3" t="s">
        <v>82</v>
      </c>
    </row>
    <row r="215" spans="1:14" x14ac:dyDescent="0.3">
      <c r="A215" s="36" t="s">
        <v>37</v>
      </c>
      <c r="B215" s="13">
        <v>107</v>
      </c>
      <c r="C215" s="48" t="str">
        <f t="shared" si="6"/>
        <v>P.L. 107-228</v>
      </c>
      <c r="D215" s="3" t="s">
        <v>421</v>
      </c>
      <c r="E215" s="3" t="s">
        <v>473</v>
      </c>
      <c r="F215" s="3" t="s">
        <v>474</v>
      </c>
      <c r="G215" s="48" t="str">
        <f>HYPERLINK("https://uscode.house.gov/view.xhtml?req=granuleid:USC-prelim-title22-section7001&amp;num=0&amp;edition=prelim", "22 U.S.C. 7001(b)(1)")</f>
        <v>22 U.S.C. 7001(b)(1)</v>
      </c>
      <c r="H215" s="46">
        <v>37894</v>
      </c>
      <c r="I215" s="13">
        <v>2003</v>
      </c>
      <c r="J215" s="47">
        <v>34000000</v>
      </c>
      <c r="K215" s="16" t="s">
        <v>62</v>
      </c>
      <c r="L215" s="3" t="s">
        <v>80</v>
      </c>
      <c r="M215" s="3" t="s">
        <v>81</v>
      </c>
      <c r="N215" s="3" t="s">
        <v>82</v>
      </c>
    </row>
    <row r="216" spans="1:14" x14ac:dyDescent="0.3">
      <c r="A216" s="36" t="s">
        <v>37</v>
      </c>
      <c r="B216" s="13">
        <v>107</v>
      </c>
      <c r="C216" s="48" t="str">
        <f>HYPERLINK("https://uscode.house.gov/statutes/pl/107/252.pdf", "P.L. 107-252")</f>
        <v>P.L. 107-252</v>
      </c>
      <c r="D216" s="3" t="s">
        <v>475</v>
      </c>
      <c r="E216" s="3" t="s">
        <v>476</v>
      </c>
      <c r="F216" s="3" t="s">
        <v>477</v>
      </c>
      <c r="G216" s="48" t="str">
        <f>HYPERLINK("https://uscode.house.gov/view.xhtml?req=granuleid:USC-prelim-title52-section20930&amp;num=0&amp;edition=prelim", "52 U.S.C. 20930")</f>
        <v>52 U.S.C. 20930</v>
      </c>
      <c r="H216" s="46">
        <v>38625</v>
      </c>
      <c r="I216" s="13">
        <v>2005</v>
      </c>
      <c r="J216" s="47">
        <v>10000000</v>
      </c>
      <c r="K216" s="47">
        <v>28000000</v>
      </c>
      <c r="L216" s="3" t="s">
        <v>53</v>
      </c>
      <c r="M216" s="3" t="s">
        <v>54</v>
      </c>
      <c r="N216" s="3" t="s">
        <v>55</v>
      </c>
    </row>
    <row r="217" spans="1:14" x14ac:dyDescent="0.3">
      <c r="A217" s="36" t="s">
        <v>37</v>
      </c>
      <c r="B217" s="13">
        <v>107</v>
      </c>
      <c r="C217" s="48" t="str">
        <f>HYPERLINK("https://uscode.house.gov/statutes/pl/107/252.pdf", "P.L. 107-252")</f>
        <v>P.L. 107-252</v>
      </c>
      <c r="D217" s="3" t="s">
        <v>475</v>
      </c>
      <c r="E217" s="3" t="s">
        <v>478</v>
      </c>
      <c r="F217" s="3" t="s">
        <v>479</v>
      </c>
      <c r="G217" s="48" t="str">
        <f>HYPERLINK("https://uscode.house.gov/view.xhtml?req=granuleid:USC-prelim-title52-section21024&amp;num=0&amp;edition=prelim", "52 U.S.C. 21024")</f>
        <v>52 U.S.C. 21024</v>
      </c>
      <c r="H217" s="46">
        <v>38625</v>
      </c>
      <c r="I217" s="13">
        <v>2005</v>
      </c>
      <c r="J217" s="47">
        <v>17410000</v>
      </c>
      <c r="K217" s="47">
        <v>10000000</v>
      </c>
      <c r="L217" s="3" t="s">
        <v>53</v>
      </c>
      <c r="M217" s="3" t="s">
        <v>54</v>
      </c>
      <c r="N217" s="3" t="s">
        <v>72</v>
      </c>
    </row>
    <row r="218" spans="1:14" x14ac:dyDescent="0.3">
      <c r="A218" s="36" t="s">
        <v>37</v>
      </c>
      <c r="B218" s="13">
        <v>107</v>
      </c>
      <c r="C218" s="48" t="str">
        <f>HYPERLINK("https://uscode.house.gov/statutes/pl/107/279.pdf", "P.L. 107-279")</f>
        <v>P.L. 107-279</v>
      </c>
      <c r="D218" s="3" t="s">
        <v>480</v>
      </c>
      <c r="F218" s="3" t="s">
        <v>481</v>
      </c>
      <c r="G218" s="48" t="str">
        <f>HYPERLINK("https://uscode.house.gov/view.xhtml?req=granuleid:USC-prelim-title20-section9584&amp;num=0&amp;edition=prelim", "20 U.S.C. 9584(a)")</f>
        <v>20 U.S.C. 9584(a)</v>
      </c>
      <c r="H218" s="46">
        <v>40086</v>
      </c>
      <c r="I218" s="13">
        <v>2009</v>
      </c>
      <c r="J218" s="16" t="s">
        <v>12</v>
      </c>
      <c r="K218" s="47">
        <v>748872000</v>
      </c>
      <c r="L218" s="3" t="s">
        <v>130</v>
      </c>
      <c r="M218" s="3" t="s">
        <v>71</v>
      </c>
      <c r="N218" s="3" t="s">
        <v>72</v>
      </c>
    </row>
    <row r="219" spans="1:14" x14ac:dyDescent="0.3">
      <c r="A219" s="36" t="s">
        <v>37</v>
      </c>
      <c r="B219" s="13">
        <v>107</v>
      </c>
      <c r="C219" s="48" t="str">
        <f>HYPERLINK("https://uscode.house.gov/statutes/pl/107/279.pdf", "P.L. 107-279")</f>
        <v>P.L. 107-279</v>
      </c>
      <c r="D219" s="3" t="s">
        <v>480</v>
      </c>
      <c r="F219" s="3" t="s">
        <v>482</v>
      </c>
      <c r="G219" s="48" t="str">
        <f>HYPERLINK("https://uscode.house.gov/view.xhtml?req=granuleid:USC-prelim-title20-section9584&amp;num=0&amp;edition=prelim", "20 U.S.C. 9584(b)")</f>
        <v>20 U.S.C. 9584(b)</v>
      </c>
      <c r="H219" s="46">
        <v>40086</v>
      </c>
      <c r="I219" s="13">
        <v>2009</v>
      </c>
      <c r="J219" s="16" t="s">
        <v>12</v>
      </c>
      <c r="K219" s="47">
        <v>58733000</v>
      </c>
      <c r="L219" s="3" t="s">
        <v>130</v>
      </c>
      <c r="M219" s="3" t="s">
        <v>71</v>
      </c>
      <c r="N219" s="3" t="s">
        <v>72</v>
      </c>
    </row>
    <row r="220" spans="1:14" x14ac:dyDescent="0.3">
      <c r="A220" s="36" t="s">
        <v>37</v>
      </c>
      <c r="B220" s="13">
        <v>107</v>
      </c>
      <c r="C220" s="48" t="str">
        <f>HYPERLINK("https://uscode.house.gov/statutes/pl/107/279.pdf", "P.L. 107-279")</f>
        <v>P.L. 107-279</v>
      </c>
      <c r="D220" s="3" t="s">
        <v>480</v>
      </c>
      <c r="F220" s="3" t="s">
        <v>483</v>
      </c>
      <c r="G220" s="48" t="str">
        <f>HYPERLINK("https://uscode.house.gov/view.xhtml?req=granuleid:USC-prelim-title20-section9608&amp;num=0&amp;edition=prelim", "20 U.S.C. 9608")</f>
        <v>20 U.S.C. 9608</v>
      </c>
      <c r="H220" s="46">
        <v>40086</v>
      </c>
      <c r="I220" s="13">
        <v>2009</v>
      </c>
      <c r="J220" s="16" t="s">
        <v>12</v>
      </c>
      <c r="K220" s="16" t="s">
        <v>62</v>
      </c>
      <c r="L220" s="3" t="s">
        <v>130</v>
      </c>
      <c r="M220" s="3" t="s">
        <v>71</v>
      </c>
      <c r="N220" s="3" t="s">
        <v>72</v>
      </c>
    </row>
    <row r="221" spans="1:14" x14ac:dyDescent="0.3">
      <c r="A221" s="36" t="s">
        <v>37</v>
      </c>
      <c r="B221" s="13">
        <v>107</v>
      </c>
      <c r="C221" s="48" t="str">
        <f>HYPERLINK("https://uscode.house.gov/statutes/pl/107/287.pdf", "P.L. 107-287")</f>
        <v>P.L. 107-287</v>
      </c>
      <c r="D221" s="3" t="s">
        <v>484</v>
      </c>
      <c r="F221" s="3" t="s">
        <v>485</v>
      </c>
      <c r="G221" s="49"/>
      <c r="H221" s="46">
        <v>39355</v>
      </c>
      <c r="I221" s="13">
        <v>2007</v>
      </c>
      <c r="J221" s="47">
        <v>20000000</v>
      </c>
      <c r="K221" s="16" t="s">
        <v>62</v>
      </c>
      <c r="L221" s="3" t="s">
        <v>265</v>
      </c>
      <c r="M221" s="3" t="s">
        <v>266</v>
      </c>
      <c r="N221" s="3" t="s">
        <v>267</v>
      </c>
    </row>
    <row r="222" spans="1:14" x14ac:dyDescent="0.3">
      <c r="A222" s="36" t="s">
        <v>37</v>
      </c>
      <c r="B222" s="13">
        <v>107</v>
      </c>
      <c r="C222" s="48" t="str">
        <f>HYPERLINK("https://uscode.house.gov/statutes/pl/107/295.pdf", "P.L. 107-295")</f>
        <v>P.L. 107-295</v>
      </c>
      <c r="D222" s="3" t="s">
        <v>486</v>
      </c>
      <c r="F222" s="3" t="s">
        <v>487</v>
      </c>
      <c r="G222" s="49"/>
      <c r="H222" s="46">
        <v>39721</v>
      </c>
      <c r="I222" s="13">
        <v>2008</v>
      </c>
      <c r="J222" s="47">
        <v>5500000</v>
      </c>
      <c r="K222" s="16" t="s">
        <v>62</v>
      </c>
      <c r="L222" s="3" t="s">
        <v>109</v>
      </c>
      <c r="M222" s="3" t="s">
        <v>148</v>
      </c>
      <c r="N222" s="3" t="s">
        <v>158</v>
      </c>
    </row>
    <row r="223" spans="1:14" x14ac:dyDescent="0.3">
      <c r="A223" s="36" t="s">
        <v>37</v>
      </c>
      <c r="B223" s="13">
        <v>107</v>
      </c>
      <c r="C223" s="48" t="str">
        <f>HYPERLINK("https://uscode.house.gov/statutes/pl/107/304.pdf", "P.L. 107-304")</f>
        <v>P.L. 107-304</v>
      </c>
      <c r="D223" s="3" t="s">
        <v>488</v>
      </c>
      <c r="E223" s="3" t="s">
        <v>69</v>
      </c>
      <c r="F223" s="3" t="s">
        <v>489</v>
      </c>
      <c r="G223" s="48" t="str">
        <f>HYPERLINK("https://uscode.house.gov/view.xhtml?req=granuleid:USC-prelim-title5-section5509&amp;num=0&amp;edition=prelim", "5 U.S.C. 5509(note)")</f>
        <v>5 U.S.C. 5509(note)</v>
      </c>
      <c r="H223" s="46">
        <v>39355</v>
      </c>
      <c r="I223" s="13">
        <v>2007</v>
      </c>
      <c r="J223" s="16" t="s">
        <v>12</v>
      </c>
      <c r="K223" s="47">
        <v>52000000</v>
      </c>
      <c r="L223" s="3" t="s">
        <v>229</v>
      </c>
      <c r="M223" s="3" t="s">
        <v>230</v>
      </c>
      <c r="N223" s="3" t="s">
        <v>55</v>
      </c>
    </row>
    <row r="224" spans="1:14" x14ac:dyDescent="0.3">
      <c r="A224" s="36" t="s">
        <v>37</v>
      </c>
      <c r="B224" s="13">
        <v>107</v>
      </c>
      <c r="C224" s="48" t="str">
        <f>HYPERLINK("https://uscode.house.gov/statutes/pl/107/327.pdf", "P.L. 107-327")</f>
        <v>P.L. 107-327</v>
      </c>
      <c r="D224" s="3" t="s">
        <v>490</v>
      </c>
      <c r="F224" s="3" t="s">
        <v>491</v>
      </c>
      <c r="G224" s="48" t="str">
        <f>HYPERLINK("https://uscode.house.gov/view.xhtml?req=granuleid:USC-prelim-title22-section7513&amp;num=0&amp;edition=prelim", "22 U.S.C. 7513(a)(3)")</f>
        <v>22 U.S.C. 7513(a)(3)</v>
      </c>
      <c r="H224" s="46">
        <v>38990</v>
      </c>
      <c r="I224" s="13">
        <v>2006</v>
      </c>
      <c r="J224" s="47">
        <v>15000000</v>
      </c>
      <c r="K224" s="16" t="s">
        <v>62</v>
      </c>
      <c r="L224" s="3" t="s">
        <v>80</v>
      </c>
      <c r="M224" s="3" t="s">
        <v>81</v>
      </c>
      <c r="N224" s="3" t="s">
        <v>82</v>
      </c>
    </row>
    <row r="225" spans="1:14" x14ac:dyDescent="0.3">
      <c r="A225" s="36" t="s">
        <v>37</v>
      </c>
      <c r="B225" s="13">
        <v>107</v>
      </c>
      <c r="C225" s="48" t="str">
        <f>HYPERLINK("https://uscode.house.gov/statutes/pl/107/327.pdf", "P.L. 107-327")</f>
        <v>P.L. 107-327</v>
      </c>
      <c r="D225" s="3" t="s">
        <v>490</v>
      </c>
      <c r="F225" s="3" t="s">
        <v>492</v>
      </c>
      <c r="G225" s="49"/>
      <c r="H225" s="46">
        <v>38625</v>
      </c>
      <c r="I225" s="13">
        <v>2005</v>
      </c>
      <c r="J225" s="47">
        <v>10000000</v>
      </c>
      <c r="K225" s="16" t="s">
        <v>62</v>
      </c>
      <c r="L225" s="3" t="s">
        <v>80</v>
      </c>
      <c r="M225" s="3" t="s">
        <v>81</v>
      </c>
      <c r="N225" s="3" t="s">
        <v>82</v>
      </c>
    </row>
    <row r="226" spans="1:14" x14ac:dyDescent="0.3">
      <c r="A226" s="36" t="s">
        <v>37</v>
      </c>
      <c r="B226" s="13">
        <v>107</v>
      </c>
      <c r="C226" s="48" t="str">
        <f>HYPERLINK("https://uscode.house.gov/statutes/pl/107/327.pdf", "P.L. 107-327")</f>
        <v>P.L. 107-327</v>
      </c>
      <c r="D226" s="3" t="s">
        <v>490</v>
      </c>
      <c r="F226" s="3" t="s">
        <v>493</v>
      </c>
      <c r="G226" s="48" t="str">
        <f>HYPERLINK("https://uscode.house.gov/view.xhtml?req=granuleid:USC-prelim-title22-section7513&amp;num=0&amp;edition=prelim", "22 U.S.C. 7513(a)(7)")</f>
        <v>22 U.S.C. 7513(a)(7)</v>
      </c>
      <c r="H226" s="46">
        <v>38990</v>
      </c>
      <c r="I226" s="13">
        <v>2006</v>
      </c>
      <c r="J226" s="47">
        <v>20000000</v>
      </c>
      <c r="K226" s="16" t="s">
        <v>62</v>
      </c>
      <c r="L226" s="3" t="s">
        <v>80</v>
      </c>
      <c r="M226" s="3" t="s">
        <v>81</v>
      </c>
      <c r="N226" s="3" t="s">
        <v>82</v>
      </c>
    </row>
    <row r="227" spans="1:14" x14ac:dyDescent="0.3">
      <c r="A227" s="36" t="s">
        <v>37</v>
      </c>
      <c r="B227" s="13">
        <v>107</v>
      </c>
      <c r="C227" s="48" t="str">
        <f>HYPERLINK("https://uscode.house.gov/statutes/pl/107/327.pdf", "P.L. 107-327")</f>
        <v>P.L. 107-327</v>
      </c>
      <c r="D227" s="3" t="s">
        <v>490</v>
      </c>
      <c r="F227" s="3" t="s">
        <v>494</v>
      </c>
      <c r="G227" s="49"/>
      <c r="H227" s="46">
        <v>38260</v>
      </c>
      <c r="I227" s="13">
        <v>2004</v>
      </c>
      <c r="J227" s="47">
        <v>500000000</v>
      </c>
      <c r="K227" s="16" t="s">
        <v>62</v>
      </c>
      <c r="L227" s="3" t="s">
        <v>80</v>
      </c>
      <c r="M227" s="3" t="s">
        <v>81</v>
      </c>
      <c r="N227" s="3" t="s">
        <v>82</v>
      </c>
    </row>
    <row r="228" spans="1:14" x14ac:dyDescent="0.3">
      <c r="A228" s="36" t="s">
        <v>37</v>
      </c>
      <c r="B228" s="13">
        <v>107</v>
      </c>
      <c r="C228" s="48" t="str">
        <f t="shared" ref="C228:C234" si="7">HYPERLINK("https://uscode.house.gov/statutes/pl/107/347.pdf", "P.L. 107-347")</f>
        <v>P.L. 107-347</v>
      </c>
      <c r="D228" s="3" t="s">
        <v>495</v>
      </c>
      <c r="F228" s="3" t="s">
        <v>496</v>
      </c>
      <c r="G228" s="49"/>
      <c r="H228" s="46">
        <v>39355</v>
      </c>
      <c r="I228" s="13">
        <v>2007</v>
      </c>
      <c r="J228" s="16" t="s">
        <v>12</v>
      </c>
      <c r="K228" s="16" t="s">
        <v>62</v>
      </c>
      <c r="L228" s="3" t="s">
        <v>229</v>
      </c>
      <c r="M228" s="3" t="s">
        <v>230</v>
      </c>
      <c r="N228" s="3" t="s">
        <v>55</v>
      </c>
    </row>
    <row r="229" spans="1:14" x14ac:dyDescent="0.3">
      <c r="A229" s="36" t="s">
        <v>37</v>
      </c>
      <c r="B229" s="13">
        <v>107</v>
      </c>
      <c r="C229" s="48" t="str">
        <f t="shared" si="7"/>
        <v>P.L. 107-347</v>
      </c>
      <c r="D229" s="3" t="s">
        <v>495</v>
      </c>
      <c r="F229" s="3" t="s">
        <v>497</v>
      </c>
      <c r="G229" s="49"/>
      <c r="H229" s="46">
        <v>39355</v>
      </c>
      <c r="I229" s="13">
        <v>2007</v>
      </c>
      <c r="J229" s="16" t="s">
        <v>12</v>
      </c>
      <c r="K229" s="16" t="s">
        <v>62</v>
      </c>
      <c r="L229" s="3" t="s">
        <v>229</v>
      </c>
      <c r="M229" s="3" t="s">
        <v>230</v>
      </c>
      <c r="N229" s="3" t="s">
        <v>55</v>
      </c>
    </row>
    <row r="230" spans="1:14" x14ac:dyDescent="0.3">
      <c r="A230" s="36" t="s">
        <v>37</v>
      </c>
      <c r="B230" s="13">
        <v>107</v>
      </c>
      <c r="C230" s="48" t="str">
        <f t="shared" si="7"/>
        <v>P.L. 107-347</v>
      </c>
      <c r="D230" s="3" t="s">
        <v>495</v>
      </c>
      <c r="F230" s="3" t="s">
        <v>498</v>
      </c>
      <c r="G230" s="49"/>
      <c r="H230" s="46">
        <v>39355</v>
      </c>
      <c r="I230" s="13">
        <v>2007</v>
      </c>
      <c r="J230" s="16" t="s">
        <v>12</v>
      </c>
      <c r="K230" s="16" t="s">
        <v>62</v>
      </c>
      <c r="L230" s="3" t="s">
        <v>229</v>
      </c>
      <c r="M230" s="3" t="s">
        <v>230</v>
      </c>
      <c r="N230" s="3" t="s">
        <v>55</v>
      </c>
    </row>
    <row r="231" spans="1:14" x14ac:dyDescent="0.3">
      <c r="A231" s="36" t="s">
        <v>37</v>
      </c>
      <c r="B231" s="13">
        <v>107</v>
      </c>
      <c r="C231" s="48" t="str">
        <f t="shared" si="7"/>
        <v>P.L. 107-347</v>
      </c>
      <c r="D231" s="3" t="s">
        <v>495</v>
      </c>
      <c r="F231" s="3" t="s">
        <v>499</v>
      </c>
      <c r="G231" s="49"/>
      <c r="H231" s="46">
        <v>39355</v>
      </c>
      <c r="I231" s="13">
        <v>2007</v>
      </c>
      <c r="J231" s="16" t="s">
        <v>12</v>
      </c>
      <c r="K231" s="16" t="s">
        <v>62</v>
      </c>
      <c r="L231" s="3" t="s">
        <v>229</v>
      </c>
      <c r="M231" s="3" t="s">
        <v>230</v>
      </c>
      <c r="N231" s="3" t="s">
        <v>55</v>
      </c>
    </row>
    <row r="232" spans="1:14" x14ac:dyDescent="0.3">
      <c r="A232" s="36" t="s">
        <v>37</v>
      </c>
      <c r="B232" s="13">
        <v>107</v>
      </c>
      <c r="C232" s="48" t="str">
        <f t="shared" si="7"/>
        <v>P.L. 107-347</v>
      </c>
      <c r="D232" s="3" t="s">
        <v>495</v>
      </c>
      <c r="F232" s="3" t="s">
        <v>500</v>
      </c>
      <c r="G232" s="49"/>
      <c r="H232" s="46">
        <v>39355</v>
      </c>
      <c r="I232" s="13">
        <v>2007</v>
      </c>
      <c r="J232" s="16" t="s">
        <v>12</v>
      </c>
      <c r="K232" s="16" t="s">
        <v>62</v>
      </c>
      <c r="L232" s="3" t="s">
        <v>229</v>
      </c>
      <c r="M232" s="3" t="s">
        <v>230</v>
      </c>
      <c r="N232" s="3" t="s">
        <v>55</v>
      </c>
    </row>
    <row r="233" spans="1:14" x14ac:dyDescent="0.3">
      <c r="A233" s="36" t="s">
        <v>37</v>
      </c>
      <c r="B233" s="13">
        <v>107</v>
      </c>
      <c r="C233" s="48" t="str">
        <f t="shared" si="7"/>
        <v>P.L. 107-347</v>
      </c>
      <c r="D233" s="3" t="s">
        <v>495</v>
      </c>
      <c r="F233" s="3" t="s">
        <v>501</v>
      </c>
      <c r="G233" s="49"/>
      <c r="H233" s="46">
        <v>39355</v>
      </c>
      <c r="I233" s="13">
        <v>2007</v>
      </c>
      <c r="J233" s="16" t="s">
        <v>12</v>
      </c>
      <c r="K233" s="16" t="s">
        <v>62</v>
      </c>
      <c r="L233" s="3" t="s">
        <v>229</v>
      </c>
      <c r="M233" s="3" t="s">
        <v>230</v>
      </c>
      <c r="N233" s="3" t="s">
        <v>55</v>
      </c>
    </row>
    <row r="234" spans="1:14" x14ac:dyDescent="0.3">
      <c r="A234" s="36" t="s">
        <v>37</v>
      </c>
      <c r="B234" s="13">
        <v>107</v>
      </c>
      <c r="C234" s="48" t="str">
        <f t="shared" si="7"/>
        <v>P.L. 107-347</v>
      </c>
      <c r="D234" s="3" t="s">
        <v>495</v>
      </c>
      <c r="F234" s="3" t="s">
        <v>502</v>
      </c>
      <c r="G234" s="49"/>
      <c r="H234" s="46">
        <v>39355</v>
      </c>
      <c r="I234" s="13">
        <v>2007</v>
      </c>
      <c r="J234" s="16" t="s">
        <v>12</v>
      </c>
      <c r="K234" s="16" t="s">
        <v>62</v>
      </c>
      <c r="L234" s="3" t="s">
        <v>229</v>
      </c>
      <c r="M234" s="3" t="s">
        <v>230</v>
      </c>
      <c r="N234" s="3" t="s">
        <v>55</v>
      </c>
    </row>
    <row r="235" spans="1:14" x14ac:dyDescent="0.3">
      <c r="A235" s="36" t="s">
        <v>37</v>
      </c>
      <c r="B235" s="13">
        <v>107</v>
      </c>
      <c r="C235" s="48" t="str">
        <f>HYPERLINK("https://uscode.house.gov/statutes/pl/107/367.pdf", "P.L. 107-367")</f>
        <v>P.L. 107-367</v>
      </c>
      <c r="D235" s="3" t="s">
        <v>503</v>
      </c>
      <c r="F235" s="3" t="s">
        <v>504</v>
      </c>
      <c r="G235" s="49"/>
      <c r="H235" s="46">
        <v>39721</v>
      </c>
      <c r="I235" s="13">
        <v>2008</v>
      </c>
      <c r="J235" s="16" t="s">
        <v>12</v>
      </c>
      <c r="K235" s="16" t="s">
        <v>62</v>
      </c>
      <c r="L235" s="3" t="s">
        <v>47</v>
      </c>
      <c r="M235" s="3" t="s">
        <v>48</v>
      </c>
      <c r="N235" s="3" t="s">
        <v>49</v>
      </c>
    </row>
    <row r="236" spans="1:14" x14ac:dyDescent="0.3">
      <c r="A236" s="36" t="s">
        <v>37</v>
      </c>
      <c r="B236" s="13">
        <v>107</v>
      </c>
      <c r="C236" s="48" t="str">
        <f>HYPERLINK("https://uscode.house.gov/statutes/pl/107/372.pdf", "P.L. 107-372")</f>
        <v>P.L. 107-372</v>
      </c>
      <c r="D236" s="3" t="s">
        <v>505</v>
      </c>
      <c r="F236" s="3" t="s">
        <v>506</v>
      </c>
      <c r="G236" s="49"/>
      <c r="H236" s="46">
        <v>38990</v>
      </c>
      <c r="I236" s="13">
        <v>2006</v>
      </c>
      <c r="J236" s="47">
        <v>6000000</v>
      </c>
      <c r="K236" s="16" t="s">
        <v>62</v>
      </c>
      <c r="L236" s="3" t="s">
        <v>47</v>
      </c>
      <c r="M236" s="3" t="s">
        <v>148</v>
      </c>
      <c r="N236" s="3" t="s">
        <v>43</v>
      </c>
    </row>
    <row r="237" spans="1:14" x14ac:dyDescent="0.3">
      <c r="A237" s="36" t="s">
        <v>37</v>
      </c>
      <c r="B237" s="13">
        <v>108</v>
      </c>
      <c r="C237" s="48" t="str">
        <f>HYPERLINK("https://uscode.house.gov/statutes/pl/108/7.pdf", "P.L. 108-7")</f>
        <v>P.L. 108-7</v>
      </c>
      <c r="D237" s="3" t="s">
        <v>507</v>
      </c>
      <c r="E237" s="3" t="s">
        <v>508</v>
      </c>
      <c r="F237" s="3" t="s">
        <v>509</v>
      </c>
      <c r="G237" s="48" t="str">
        <f>HYPERLINK("https://uscode.house.gov/view.xhtml?req=granuleid:USC-prelim-title54-section302103&amp;num=0&amp;edition=prelim", "54 U.S.C. 302103")</f>
        <v>54 U.S.C. 302103</v>
      </c>
      <c r="H237" s="46">
        <v>39721</v>
      </c>
      <c r="I237" s="13">
        <v>2008</v>
      </c>
      <c r="J237" s="47">
        <v>10000000</v>
      </c>
      <c r="K237" s="47">
        <v>11000000</v>
      </c>
      <c r="L237" s="3" t="s">
        <v>47</v>
      </c>
      <c r="M237" s="3" t="s">
        <v>48</v>
      </c>
      <c r="N237" s="3" t="s">
        <v>49</v>
      </c>
    </row>
    <row r="238" spans="1:14" x14ac:dyDescent="0.3">
      <c r="A238" s="36" t="s">
        <v>37</v>
      </c>
      <c r="B238" s="13">
        <v>108</v>
      </c>
      <c r="C238" s="48" t="str">
        <f>HYPERLINK("https://uscode.house.gov/statutes/pl/108/21.pdf", "P.L. 108-21")</f>
        <v>P.L. 108-21</v>
      </c>
      <c r="D238" s="3" t="s">
        <v>510</v>
      </c>
      <c r="F238" s="3" t="s">
        <v>511</v>
      </c>
      <c r="G238" s="49"/>
      <c r="H238" s="46">
        <v>38625</v>
      </c>
      <c r="I238" s="13">
        <v>2005</v>
      </c>
      <c r="J238" s="16" t="s">
        <v>12</v>
      </c>
      <c r="K238" s="16" t="s">
        <v>62</v>
      </c>
      <c r="L238" s="3" t="s">
        <v>41</v>
      </c>
      <c r="M238" s="3" t="s">
        <v>42</v>
      </c>
      <c r="N238" s="3" t="s">
        <v>43</v>
      </c>
    </row>
    <row r="239" spans="1:14" x14ac:dyDescent="0.3">
      <c r="A239" s="36" t="s">
        <v>37</v>
      </c>
      <c r="B239" s="13">
        <v>108</v>
      </c>
      <c r="C239" s="48" t="str">
        <f>HYPERLINK("https://uscode.house.gov/statutes/pl/108/21.pdf", "P.L. 108-21")</f>
        <v>P.L. 108-21</v>
      </c>
      <c r="D239" s="3" t="s">
        <v>510</v>
      </c>
      <c r="F239" s="3" t="s">
        <v>512</v>
      </c>
      <c r="G239" s="49"/>
      <c r="H239" s="46">
        <v>38260</v>
      </c>
      <c r="I239" s="13">
        <v>2004</v>
      </c>
      <c r="J239" s="47">
        <v>20000000</v>
      </c>
      <c r="K239" s="16" t="s">
        <v>62</v>
      </c>
      <c r="L239" s="3" t="s">
        <v>41</v>
      </c>
      <c r="M239" s="3" t="s">
        <v>42</v>
      </c>
      <c r="N239" s="3" t="s">
        <v>43</v>
      </c>
    </row>
    <row r="240" spans="1:14" x14ac:dyDescent="0.3">
      <c r="A240" s="36" t="s">
        <v>37</v>
      </c>
      <c r="B240" s="13">
        <v>108</v>
      </c>
      <c r="C240" s="48" t="str">
        <f>HYPERLINK("https://uscode.house.gov/statutes/pl/108/34.pdf", "P.L. 108-34")</f>
        <v>P.L. 108-34</v>
      </c>
      <c r="D240" s="3" t="s">
        <v>513</v>
      </c>
      <c r="E240" s="3" t="s">
        <v>514</v>
      </c>
      <c r="F240" s="3" t="s">
        <v>515</v>
      </c>
      <c r="G240" s="49"/>
      <c r="H240" s="46">
        <v>38990</v>
      </c>
      <c r="I240" s="13">
        <v>2006</v>
      </c>
      <c r="J240" s="47">
        <v>5250000</v>
      </c>
      <c r="K240" s="16" t="s">
        <v>62</v>
      </c>
      <c r="L240" s="3" t="s">
        <v>47</v>
      </c>
      <c r="M240" s="3" t="s">
        <v>236</v>
      </c>
      <c r="N240" s="3" t="s">
        <v>49</v>
      </c>
    </row>
    <row r="241" spans="1:14" x14ac:dyDescent="0.3">
      <c r="A241" s="36" t="s">
        <v>37</v>
      </c>
      <c r="B241" s="13">
        <v>108</v>
      </c>
      <c r="C241" s="48" t="str">
        <f>HYPERLINK("https://uscode.house.gov/statutes/pl/108/79.pdf", "P.L. 108-79")</f>
        <v>P.L. 108-79</v>
      </c>
      <c r="D241" s="3" t="s">
        <v>516</v>
      </c>
      <c r="E241" s="3" t="s">
        <v>517</v>
      </c>
      <c r="F241" s="3" t="s">
        <v>518</v>
      </c>
      <c r="G241" s="48" t="str">
        <f>HYPERLINK("https://uscode.house.gov/view.xhtml?req=granuleid:USC-prelim-title42-section15603&amp;num=0&amp;edition=prelim", "42 U.S.C. 15603")</f>
        <v>42 U.S.C. 15603</v>
      </c>
      <c r="H241" s="46">
        <v>40451</v>
      </c>
      <c r="I241" s="13">
        <v>2010</v>
      </c>
      <c r="J241" s="47">
        <v>15000000</v>
      </c>
      <c r="K241" s="16" t="s">
        <v>62</v>
      </c>
      <c r="L241" s="3" t="s">
        <v>41</v>
      </c>
      <c r="M241" s="3" t="s">
        <v>42</v>
      </c>
      <c r="N241" s="3" t="s">
        <v>43</v>
      </c>
    </row>
    <row r="242" spans="1:14" x14ac:dyDescent="0.3">
      <c r="A242" s="36" t="s">
        <v>37</v>
      </c>
      <c r="B242" s="13">
        <v>108</v>
      </c>
      <c r="C242" s="48" t="str">
        <f>HYPERLINK("https://uscode.house.gov/statutes/pl/108/79.pdf", "P.L. 108-79")</f>
        <v>P.L. 108-79</v>
      </c>
      <c r="D242" s="3" t="s">
        <v>516</v>
      </c>
      <c r="E242" s="3" t="s">
        <v>519</v>
      </c>
      <c r="F242" s="3" t="s">
        <v>520</v>
      </c>
      <c r="G242" s="48" t="str">
        <f>HYPERLINK("https://uscode.house.gov/view.xhtml?req=granuleid:USC-prelim-title42-section15604&amp;num=0&amp;edition=prelim", "42 U.S.C. 15604")</f>
        <v>42 U.S.C. 15604</v>
      </c>
      <c r="H242" s="46">
        <v>40451</v>
      </c>
      <c r="I242" s="13">
        <v>2010</v>
      </c>
      <c r="J242" s="47">
        <v>5000000</v>
      </c>
      <c r="K242" s="47">
        <v>15500000</v>
      </c>
      <c r="L242" s="3" t="s">
        <v>41</v>
      </c>
      <c r="M242" s="3" t="s">
        <v>42</v>
      </c>
      <c r="N242" s="3" t="s">
        <v>43</v>
      </c>
    </row>
    <row r="243" spans="1:14" x14ac:dyDescent="0.3">
      <c r="A243" s="36" t="s">
        <v>37</v>
      </c>
      <c r="B243" s="13">
        <v>108</v>
      </c>
      <c r="C243" s="48" t="str">
        <f>HYPERLINK("https://uscode.house.gov/statutes/pl/108/79.pdf", "P.L. 108-79")</f>
        <v>P.L. 108-79</v>
      </c>
      <c r="D243" s="3" t="s">
        <v>516</v>
      </c>
      <c r="E243" s="3" t="s">
        <v>521</v>
      </c>
      <c r="F243" s="3" t="s">
        <v>522</v>
      </c>
      <c r="G243" s="48" t="str">
        <f>HYPERLINK("https://uscode.house.gov/view.xhtml?req=granuleid:USC-prelim-title34-section30305&amp;num=0&amp;edition=prelim", "34 U.S.C. 30305")</f>
        <v>34 U.S.C. 30305</v>
      </c>
      <c r="H243" s="46">
        <v>40451</v>
      </c>
      <c r="I243" s="13">
        <v>2010</v>
      </c>
      <c r="J243" s="47">
        <v>40000000</v>
      </c>
      <c r="K243" s="16" t="s">
        <v>62</v>
      </c>
      <c r="L243" s="3" t="s">
        <v>41</v>
      </c>
      <c r="M243" s="3" t="s">
        <v>42</v>
      </c>
      <c r="N243" s="3" t="s">
        <v>43</v>
      </c>
    </row>
    <row r="244" spans="1:14" x14ac:dyDescent="0.3">
      <c r="A244" s="36" t="s">
        <v>37</v>
      </c>
      <c r="B244" s="13">
        <v>108</v>
      </c>
      <c r="C244" s="48" t="str">
        <f>HYPERLINK("https://uscode.house.gov/statutes/pl/108/146.pdf", "P.L. 108-146")</f>
        <v>P.L. 108-146</v>
      </c>
      <c r="D244" s="3" t="s">
        <v>523</v>
      </c>
      <c r="F244" s="3" t="s">
        <v>524</v>
      </c>
      <c r="G244" s="49"/>
      <c r="H244" s="46">
        <v>37894</v>
      </c>
      <c r="I244" s="13">
        <v>2003</v>
      </c>
      <c r="J244" s="47">
        <v>5000000</v>
      </c>
      <c r="K244" s="16" t="s">
        <v>62</v>
      </c>
      <c r="L244" s="3" t="s">
        <v>156</v>
      </c>
      <c r="M244" s="3" t="s">
        <v>157</v>
      </c>
      <c r="N244" s="3" t="s">
        <v>158</v>
      </c>
    </row>
    <row r="245" spans="1:14" x14ac:dyDescent="0.3">
      <c r="A245" s="36" t="s">
        <v>37</v>
      </c>
      <c r="B245" s="13">
        <v>108</v>
      </c>
      <c r="C245" s="48" t="str">
        <f>HYPERLINK("https://uscode.house.gov/statutes/pl/108/153.pdf", "P.L. 108-153")</f>
        <v>P.L. 108-153</v>
      </c>
      <c r="D245" s="3" t="s">
        <v>525</v>
      </c>
      <c r="E245" s="3" t="s">
        <v>526</v>
      </c>
      <c r="F245" s="3" t="s">
        <v>527</v>
      </c>
      <c r="G245" s="49"/>
      <c r="H245" s="46">
        <v>39721</v>
      </c>
      <c r="I245" s="13">
        <v>2008</v>
      </c>
      <c r="J245" s="47">
        <v>415000000</v>
      </c>
      <c r="K245" s="16" t="s">
        <v>62</v>
      </c>
      <c r="L245" s="3" t="s">
        <v>135</v>
      </c>
      <c r="M245" s="3" t="s">
        <v>148</v>
      </c>
      <c r="N245" s="3" t="s">
        <v>58</v>
      </c>
    </row>
    <row r="246" spans="1:14" x14ac:dyDescent="0.3">
      <c r="A246" s="36" t="s">
        <v>37</v>
      </c>
      <c r="B246" s="13">
        <v>108</v>
      </c>
      <c r="C246" s="48" t="str">
        <f>HYPERLINK("https://uscode.house.gov/statutes/pl/108/153.pdf", "P.L. 108-153")</f>
        <v>P.L. 108-153</v>
      </c>
      <c r="D246" s="3" t="s">
        <v>525</v>
      </c>
      <c r="F246" s="3" t="s">
        <v>528</v>
      </c>
      <c r="G246" s="49"/>
      <c r="H246" s="46">
        <v>39721</v>
      </c>
      <c r="I246" s="13">
        <v>2008</v>
      </c>
      <c r="J246" s="47">
        <v>6800000</v>
      </c>
      <c r="K246" s="16" t="s">
        <v>62</v>
      </c>
      <c r="L246" s="3" t="s">
        <v>135</v>
      </c>
      <c r="M246" s="3" t="s">
        <v>148</v>
      </c>
      <c r="N246" s="3" t="s">
        <v>49</v>
      </c>
    </row>
    <row r="247" spans="1:14" x14ac:dyDescent="0.3">
      <c r="A247" s="36" t="s">
        <v>37</v>
      </c>
      <c r="B247" s="13">
        <v>108</v>
      </c>
      <c r="C247" s="48" t="str">
        <f>HYPERLINK("https://uscode.house.gov/statutes/pl/108/154.pdf", "P.L. 108-154")</f>
        <v>P.L. 108-154</v>
      </c>
      <c r="D247" s="3" t="s">
        <v>529</v>
      </c>
      <c r="E247" s="3" t="s">
        <v>222</v>
      </c>
      <c r="F247" s="3" t="s">
        <v>530</v>
      </c>
      <c r="G247" s="48" t="str">
        <f>HYPERLINK("https://uscode.house.gov/view.xhtml?req=granuleid:USC-prelim-title42-section247b-4&amp;num=0&amp;edition=prelim", "42 U.S.C. 247b-4(f)")</f>
        <v>42 U.S.C. 247b-4(f)</v>
      </c>
      <c r="H247" s="46">
        <v>39355</v>
      </c>
      <c r="I247" s="13">
        <v>2007</v>
      </c>
      <c r="J247" s="16" t="s">
        <v>12</v>
      </c>
      <c r="K247" s="47">
        <v>205560000</v>
      </c>
      <c r="L247" s="3" t="s">
        <v>60</v>
      </c>
      <c r="M247" s="3" t="s">
        <v>148</v>
      </c>
      <c r="N247" s="3" t="s">
        <v>72</v>
      </c>
    </row>
    <row r="248" spans="1:14" x14ac:dyDescent="0.3">
      <c r="A248" s="36" t="s">
        <v>37</v>
      </c>
      <c r="B248" s="13">
        <v>108</v>
      </c>
      <c r="C248" s="48" t="str">
        <f>HYPERLINK("https://uscode.house.gov/statutes/pl/108/159.pdf", "P.L. 108-159")</f>
        <v>P.L. 108-159</v>
      </c>
      <c r="D248" s="3" t="s">
        <v>531</v>
      </c>
      <c r="F248" s="3" t="s">
        <v>532</v>
      </c>
      <c r="G248" s="49"/>
      <c r="H248" s="46">
        <v>38990</v>
      </c>
      <c r="I248" s="13">
        <v>2006</v>
      </c>
      <c r="J248" s="47">
        <v>3000000</v>
      </c>
      <c r="K248" s="16" t="s">
        <v>62</v>
      </c>
      <c r="L248" s="3" t="s">
        <v>156</v>
      </c>
      <c r="M248" s="3" t="s">
        <v>157</v>
      </c>
      <c r="N248" s="3" t="s">
        <v>55</v>
      </c>
    </row>
    <row r="249" spans="1:14" x14ac:dyDescent="0.3">
      <c r="A249" s="36" t="s">
        <v>37</v>
      </c>
      <c r="B249" s="13">
        <v>108</v>
      </c>
      <c r="C249" s="48" t="str">
        <f>HYPERLINK("https://uscode.house.gov/statutes/pl/108/176.pdf", "P.L. 108-176")</f>
        <v>P.L. 108-176</v>
      </c>
      <c r="D249" s="3" t="s">
        <v>533</v>
      </c>
      <c r="F249" s="3" t="s">
        <v>534</v>
      </c>
      <c r="G249" s="49"/>
      <c r="H249" s="46">
        <v>39355</v>
      </c>
      <c r="I249" s="13">
        <v>2007</v>
      </c>
      <c r="J249" s="47">
        <v>30586000</v>
      </c>
      <c r="K249" s="16" t="s">
        <v>62</v>
      </c>
      <c r="L249" s="3" t="s">
        <v>135</v>
      </c>
      <c r="M249" s="3" t="s">
        <v>148</v>
      </c>
      <c r="N249" s="3" t="s">
        <v>158</v>
      </c>
    </row>
    <row r="250" spans="1:14" x14ac:dyDescent="0.3">
      <c r="A250" s="36" t="s">
        <v>37</v>
      </c>
      <c r="B250" s="13">
        <v>108</v>
      </c>
      <c r="C250" s="48" t="str">
        <f>HYPERLINK("https://uscode.house.gov/statutes/pl/108/176.pdf", "P.L. 108-176")</f>
        <v>P.L. 108-176</v>
      </c>
      <c r="D250" s="3" t="s">
        <v>533</v>
      </c>
      <c r="F250" s="3" t="s">
        <v>535</v>
      </c>
      <c r="G250" s="49"/>
      <c r="H250" s="46">
        <v>39355</v>
      </c>
      <c r="I250" s="13">
        <v>2007</v>
      </c>
      <c r="J250" s="47">
        <v>10000000</v>
      </c>
      <c r="K250" s="16" t="s">
        <v>62</v>
      </c>
      <c r="L250" s="3" t="s">
        <v>135</v>
      </c>
      <c r="M250" s="3" t="s">
        <v>148</v>
      </c>
      <c r="N250" s="3" t="s">
        <v>158</v>
      </c>
    </row>
    <row r="251" spans="1:14" x14ac:dyDescent="0.3">
      <c r="A251" s="36" t="s">
        <v>37</v>
      </c>
      <c r="B251" s="13">
        <v>108</v>
      </c>
      <c r="C251" s="48" t="str">
        <f>HYPERLINK("https://uscode.house.gov/statutes/pl/108/183.pdf", "P.L. 108-183")</f>
        <v>P.L. 108-183</v>
      </c>
      <c r="D251" s="3" t="s">
        <v>536</v>
      </c>
      <c r="E251" s="3" t="s">
        <v>259</v>
      </c>
      <c r="F251" s="3" t="s">
        <v>537</v>
      </c>
      <c r="G251" s="48" t="str">
        <f>HYPERLINK("https://uscode.house.gov/view.xhtml?req=granuleid:USC-prelim-title38-section3485&amp;num=0&amp;edition=prelim", "38 U.S.C. 3485")</f>
        <v>38 U.S.C. 3485</v>
      </c>
      <c r="H251" s="46">
        <v>40178</v>
      </c>
      <c r="I251" s="13">
        <v>2010</v>
      </c>
      <c r="J251" s="16" t="s">
        <v>12</v>
      </c>
      <c r="K251" s="16" t="s">
        <v>62</v>
      </c>
      <c r="L251" s="3" t="s">
        <v>265</v>
      </c>
      <c r="M251" s="3" t="s">
        <v>266</v>
      </c>
      <c r="N251" s="3" t="s">
        <v>267</v>
      </c>
    </row>
    <row r="252" spans="1:14" x14ac:dyDescent="0.3">
      <c r="A252" s="36" t="s">
        <v>37</v>
      </c>
      <c r="B252" s="13">
        <v>108</v>
      </c>
      <c r="C252" s="48" t="str">
        <f>HYPERLINK("https://uscode.house.gov/statutes/pl/108/186.pdf", "P.L. 108-186")</f>
        <v>P.L. 108-186</v>
      </c>
      <c r="D252" s="3" t="s">
        <v>538</v>
      </c>
      <c r="F252" s="3" t="s">
        <v>539</v>
      </c>
      <c r="G252" s="49"/>
      <c r="H252" s="46">
        <v>39355</v>
      </c>
      <c r="I252" s="13">
        <v>2007</v>
      </c>
      <c r="J252" s="47">
        <v>200000000</v>
      </c>
      <c r="K252" s="16" t="s">
        <v>62</v>
      </c>
      <c r="L252" s="3" t="s">
        <v>156</v>
      </c>
      <c r="M252" s="3" t="s">
        <v>157</v>
      </c>
      <c r="N252" s="3" t="s">
        <v>158</v>
      </c>
    </row>
    <row r="253" spans="1:14" x14ac:dyDescent="0.3">
      <c r="A253" s="36" t="s">
        <v>37</v>
      </c>
      <c r="B253" s="13">
        <v>108</v>
      </c>
      <c r="C253" s="48" t="str">
        <f t="shared" ref="C253:C258" si="8">HYPERLINK("https://uscode.house.gov/statutes/pl/108/188.pdf", "P.L. 108-188")</f>
        <v>P.L. 108-188</v>
      </c>
      <c r="D253" s="3" t="s">
        <v>540</v>
      </c>
      <c r="E253" s="3" t="s">
        <v>541</v>
      </c>
      <c r="F253" s="3" t="s">
        <v>542</v>
      </c>
      <c r="G253" s="48" t="str">
        <f>HYPERLINK("https://uscode.house.gov/view.xhtml?req=granuleid:USC-prelim-title48-section1921b&amp;num=0&amp;edition=prelim", "48 U.S.C. 1921b(f)(2)")</f>
        <v>48 U.S.C. 1921b(f)(2)</v>
      </c>
      <c r="H253" s="46">
        <v>45199</v>
      </c>
      <c r="I253" s="13">
        <v>2023</v>
      </c>
      <c r="J253" s="47">
        <v>1300000</v>
      </c>
      <c r="K253" s="16" t="s">
        <v>62</v>
      </c>
      <c r="L253" s="3" t="s">
        <v>47</v>
      </c>
      <c r="M253" s="3" t="s">
        <v>48</v>
      </c>
      <c r="N253" s="3" t="s">
        <v>49</v>
      </c>
    </row>
    <row r="254" spans="1:14" x14ac:dyDescent="0.3">
      <c r="A254" s="36" t="s">
        <v>37</v>
      </c>
      <c r="B254" s="13">
        <v>108</v>
      </c>
      <c r="C254" s="48" t="str">
        <f t="shared" si="8"/>
        <v>P.L. 108-188</v>
      </c>
      <c r="D254" s="3" t="s">
        <v>540</v>
      </c>
      <c r="E254" s="3" t="s">
        <v>543</v>
      </c>
      <c r="F254" s="3" t="s">
        <v>544</v>
      </c>
      <c r="G254" s="48" t="str">
        <f>HYPERLINK("https://uscode.house.gov/view.xhtml?req=granuleid:USC-prelim-title48-section1921c&amp;num=0&amp;edition=prelim", "48 U.S.C. 1921c(e)(3)")</f>
        <v>48 U.S.C. 1921c(e)(3)</v>
      </c>
      <c r="H254" s="46">
        <v>45199</v>
      </c>
      <c r="I254" s="13">
        <v>2023</v>
      </c>
      <c r="J254" s="47">
        <v>30000000</v>
      </c>
      <c r="K254" s="16" t="s">
        <v>62</v>
      </c>
      <c r="L254" s="3" t="s">
        <v>47</v>
      </c>
      <c r="M254" s="3" t="s">
        <v>48</v>
      </c>
      <c r="N254" s="3" t="s">
        <v>49</v>
      </c>
    </row>
    <row r="255" spans="1:14" x14ac:dyDescent="0.3">
      <c r="A255" s="36" t="s">
        <v>37</v>
      </c>
      <c r="B255" s="13">
        <v>108</v>
      </c>
      <c r="C255" s="48" t="str">
        <f t="shared" si="8"/>
        <v>P.L. 108-188</v>
      </c>
      <c r="D255" s="3" t="s">
        <v>540</v>
      </c>
      <c r="E255" s="3" t="s">
        <v>545</v>
      </c>
      <c r="F255" s="3" t="s">
        <v>546</v>
      </c>
      <c r="G255" s="48" t="str">
        <f>HYPERLINK("https://uscode.house.gov/view.xhtml?req=granuleid:USC-prelim-title48-section1921c&amp;num=0&amp;edition=prelim", "48 U.S.C. 1921c(e)(10)")</f>
        <v>48 U.S.C. 1921c(e)(10)</v>
      </c>
      <c r="H255" s="46">
        <v>45199</v>
      </c>
      <c r="I255" s="13">
        <v>2023</v>
      </c>
      <c r="J255" s="16" t="s">
        <v>12</v>
      </c>
      <c r="K255" s="16" t="s">
        <v>62</v>
      </c>
      <c r="L255" s="3" t="s">
        <v>47</v>
      </c>
      <c r="M255" s="3" t="s">
        <v>48</v>
      </c>
      <c r="N255" s="3" t="s">
        <v>49</v>
      </c>
    </row>
    <row r="256" spans="1:14" x14ac:dyDescent="0.3">
      <c r="A256" s="36" t="s">
        <v>37</v>
      </c>
      <c r="B256" s="13">
        <v>108</v>
      </c>
      <c r="C256" s="48" t="str">
        <f t="shared" si="8"/>
        <v>P.L. 108-188</v>
      </c>
      <c r="D256" s="3" t="s">
        <v>540</v>
      </c>
      <c r="E256" s="3" t="s">
        <v>547</v>
      </c>
      <c r="F256" s="3" t="s">
        <v>548</v>
      </c>
      <c r="G256" s="48" t="str">
        <f>HYPERLINK("https://uscode.house.gov/view.xhtml?req=granuleid:USC-prelim-title48-section1921d&amp;num=0&amp;edition=prelim", "48 U.S.C. 1921d(f)(1)")</f>
        <v>48 U.S.C. 1921d(f)(1)</v>
      </c>
      <c r="H256" s="46">
        <v>45199</v>
      </c>
      <c r="I256" s="13">
        <v>2023</v>
      </c>
      <c r="J256" s="47">
        <v>12230000</v>
      </c>
      <c r="K256" s="16" t="s">
        <v>62</v>
      </c>
      <c r="L256" s="3" t="s">
        <v>47</v>
      </c>
      <c r="M256" s="3" t="s">
        <v>48</v>
      </c>
      <c r="N256" s="3" t="s">
        <v>49</v>
      </c>
    </row>
    <row r="257" spans="1:14" x14ac:dyDescent="0.3">
      <c r="A257" s="36" t="s">
        <v>37</v>
      </c>
      <c r="B257" s="13">
        <v>108</v>
      </c>
      <c r="C257" s="48" t="str">
        <f t="shared" si="8"/>
        <v>P.L. 108-188</v>
      </c>
      <c r="D257" s="3" t="s">
        <v>540</v>
      </c>
      <c r="E257" s="3" t="s">
        <v>547</v>
      </c>
      <c r="F257" s="3" t="s">
        <v>549</v>
      </c>
      <c r="G257" s="48" t="str">
        <f>HYPERLINK("https://uscode.house.gov/view.xhtml?req=granuleid:USC-prelim-title48-section1921d&amp;num=0&amp;edition=prelim", "48 U.S.C. 1921d(f)(1)")</f>
        <v>48 U.S.C. 1921d(f)(1)</v>
      </c>
      <c r="H257" s="46">
        <v>45199</v>
      </c>
      <c r="I257" s="13">
        <v>2023</v>
      </c>
      <c r="J257" s="47">
        <v>6100000</v>
      </c>
      <c r="K257" s="16" t="s">
        <v>62</v>
      </c>
      <c r="L257" s="3" t="s">
        <v>47</v>
      </c>
      <c r="M257" s="3" t="s">
        <v>48</v>
      </c>
      <c r="N257" s="3" t="s">
        <v>49</v>
      </c>
    </row>
    <row r="258" spans="1:14" x14ac:dyDescent="0.3">
      <c r="A258" s="36" t="s">
        <v>37</v>
      </c>
      <c r="B258" s="13">
        <v>108</v>
      </c>
      <c r="C258" s="48" t="str">
        <f t="shared" si="8"/>
        <v>P.L. 108-188</v>
      </c>
      <c r="D258" s="3" t="s">
        <v>540</v>
      </c>
      <c r="E258" s="3" t="s">
        <v>550</v>
      </c>
      <c r="F258" s="3" t="s">
        <v>551</v>
      </c>
      <c r="G258" s="48" t="str">
        <f>HYPERLINK("https://uscode.house.gov/view.xhtml?req=granuleid:USC-prelim-title48-section1921d&amp;num=0&amp;edition=prelim", "48 U.S.C. 1921d(i)")</f>
        <v>48 U.S.C. 1921d(i)</v>
      </c>
      <c r="H258" s="46">
        <v>45199</v>
      </c>
      <c r="I258" s="13">
        <v>2023</v>
      </c>
      <c r="J258" s="47">
        <v>300000</v>
      </c>
      <c r="K258" s="16" t="s">
        <v>62</v>
      </c>
      <c r="L258" s="3" t="s">
        <v>47</v>
      </c>
      <c r="M258" s="3" t="s">
        <v>48</v>
      </c>
      <c r="N258" s="3" t="s">
        <v>49</v>
      </c>
    </row>
    <row r="259" spans="1:14" x14ac:dyDescent="0.3">
      <c r="A259" s="36" t="s">
        <v>37</v>
      </c>
      <c r="B259" s="13">
        <v>108</v>
      </c>
      <c r="C259" s="48" t="str">
        <f>HYPERLINK("https://uscode.house.gov/statutes/pl/108/199.pdf", "P.L. 108-199")</f>
        <v>P.L. 108-199</v>
      </c>
      <c r="D259" s="3" t="s">
        <v>552</v>
      </c>
      <c r="F259" s="3" t="s">
        <v>553</v>
      </c>
      <c r="G259" s="48" t="str">
        <f>HYPERLINK("https://uscode.house.gov/view.xhtml?req=granuleid:USC-prelim-title22-section7718&amp;num=0&amp;edition=prelim", "22 U.S.C. 7718")</f>
        <v>22 U.S.C. 7718</v>
      </c>
      <c r="H259" s="46">
        <v>38625</v>
      </c>
      <c r="I259" s="13">
        <v>2005</v>
      </c>
      <c r="J259" s="16" t="s">
        <v>12</v>
      </c>
      <c r="K259" s="47">
        <v>930000000</v>
      </c>
      <c r="L259" s="3" t="s">
        <v>80</v>
      </c>
      <c r="M259" s="3" t="s">
        <v>81</v>
      </c>
      <c r="N259" s="3" t="s">
        <v>82</v>
      </c>
    </row>
    <row r="260" spans="1:14" x14ac:dyDescent="0.3">
      <c r="A260" s="36" t="s">
        <v>37</v>
      </c>
      <c r="B260" s="13">
        <v>108</v>
      </c>
      <c r="C260" s="48" t="str">
        <f>HYPERLINK("https://uscode.house.gov/statutes/pl/108/200.pdf", "P.L. 108-200")</f>
        <v>P.L. 108-200</v>
      </c>
      <c r="D260" s="3" t="s">
        <v>554</v>
      </c>
      <c r="F260" s="3" t="s">
        <v>555</v>
      </c>
      <c r="G260" s="49"/>
      <c r="H260" s="46">
        <v>38260</v>
      </c>
      <c r="I260" s="13">
        <v>2004</v>
      </c>
      <c r="J260" s="47">
        <v>18600000</v>
      </c>
      <c r="K260" s="16" t="s">
        <v>62</v>
      </c>
      <c r="L260" s="3" t="s">
        <v>80</v>
      </c>
      <c r="M260" s="3" t="s">
        <v>81</v>
      </c>
      <c r="N260" s="3" t="s">
        <v>82</v>
      </c>
    </row>
    <row r="261" spans="1:14" x14ac:dyDescent="0.3">
      <c r="A261" s="36" t="s">
        <v>37</v>
      </c>
      <c r="B261" s="13">
        <v>108</v>
      </c>
      <c r="C261" s="48" t="str">
        <f>HYPERLINK("https://uscode.house.gov/statutes/pl/108/204.pdf", "P.L. 108-204")</f>
        <v>P.L. 108-204</v>
      </c>
      <c r="D261" s="3" t="s">
        <v>556</v>
      </c>
      <c r="E261" s="3" t="s">
        <v>194</v>
      </c>
      <c r="F261" s="3" t="s">
        <v>557</v>
      </c>
      <c r="G261" s="49"/>
      <c r="H261" s="46">
        <v>39721</v>
      </c>
      <c r="I261" s="13">
        <v>2008</v>
      </c>
      <c r="J261" s="47">
        <v>50000</v>
      </c>
      <c r="K261" s="16" t="s">
        <v>62</v>
      </c>
      <c r="L261" s="3" t="s">
        <v>47</v>
      </c>
      <c r="M261" s="3" t="s">
        <v>236</v>
      </c>
      <c r="N261" s="3" t="s">
        <v>49</v>
      </c>
    </row>
    <row r="262" spans="1:14" x14ac:dyDescent="0.3">
      <c r="A262" s="36" t="s">
        <v>37</v>
      </c>
      <c r="B262" s="13">
        <v>108</v>
      </c>
      <c r="C262" s="48" t="str">
        <f>HYPERLINK("https://uscode.house.gov/statutes/pl/108/216.pdf", "P.L. 108-216")</f>
        <v>P.L. 108-216</v>
      </c>
      <c r="D262" s="3" t="s">
        <v>558</v>
      </c>
      <c r="E262" s="3" t="s">
        <v>296</v>
      </c>
      <c r="F262" s="3" t="s">
        <v>559</v>
      </c>
      <c r="G262" s="48" t="str">
        <f>HYPERLINK("https://uscode.house.gov/view.xhtml?req=granuleid:USC-prelim-title42-section274f&amp;num=0&amp;edition=prelim", "42 U.S.C. 274f(f)")</f>
        <v>42 U.S.C. 274f(f)</v>
      </c>
      <c r="H262" s="46">
        <v>40086</v>
      </c>
      <c r="I262" s="13">
        <v>2009</v>
      </c>
      <c r="J262" s="47">
        <v>5000000</v>
      </c>
      <c r="K262" s="16" t="s">
        <v>62</v>
      </c>
      <c r="L262" s="3" t="s">
        <v>60</v>
      </c>
      <c r="M262" s="3" t="s">
        <v>71</v>
      </c>
      <c r="N262" s="3" t="s">
        <v>72</v>
      </c>
    </row>
    <row r="263" spans="1:14" x14ac:dyDescent="0.3">
      <c r="A263" s="36" t="s">
        <v>37</v>
      </c>
      <c r="B263" s="13">
        <v>108</v>
      </c>
      <c r="C263" s="48" t="str">
        <f>HYPERLINK("https://uscode.house.gov/statutes/pl/108/216.pdf", "P.L. 108-216")</f>
        <v>P.L. 108-216</v>
      </c>
      <c r="D263" s="3" t="s">
        <v>558</v>
      </c>
      <c r="E263" s="3" t="s">
        <v>560</v>
      </c>
      <c r="F263" s="3" t="s">
        <v>561</v>
      </c>
      <c r="G263" s="48" t="str">
        <f>HYPERLINK("https://uscode.house.gov/view.xhtml?req=granuleid:USC-prelim-title42-section274f-2&amp;num=0&amp;edition=prelim", "42 U.S.C. 274f-2")</f>
        <v>42 U.S.C. 274f-2</v>
      </c>
      <c r="H263" s="46">
        <v>40086</v>
      </c>
      <c r="I263" s="13">
        <v>2009</v>
      </c>
      <c r="J263" s="16" t="s">
        <v>12</v>
      </c>
      <c r="K263" s="47">
        <v>31049000</v>
      </c>
      <c r="L263" s="3" t="s">
        <v>60</v>
      </c>
      <c r="M263" s="3" t="s">
        <v>71</v>
      </c>
      <c r="N263" s="3" t="s">
        <v>72</v>
      </c>
    </row>
    <row r="264" spans="1:14" x14ac:dyDescent="0.3">
      <c r="A264" s="36" t="s">
        <v>37</v>
      </c>
      <c r="B264" s="13">
        <v>108</v>
      </c>
      <c r="C264" s="48" t="str">
        <f>HYPERLINK("https://uscode.house.gov/statutes/pl/108/216.pdf", "P.L. 108-216")</f>
        <v>P.L. 108-216</v>
      </c>
      <c r="D264" s="3" t="s">
        <v>558</v>
      </c>
      <c r="E264" s="3" t="s">
        <v>45</v>
      </c>
      <c r="F264" s="3" t="s">
        <v>562</v>
      </c>
      <c r="G264" s="48" t="str">
        <f>HYPERLINK("https://uscode.house.gov/view.xhtml?req=granuleid:USC-prelim-title42-section274f-1&amp;num=0&amp;edition=prelim", "42 U.S.C. 274f-1(e)")</f>
        <v>42 U.S.C. 274f-1(e)</v>
      </c>
      <c r="H264" s="46">
        <v>40086</v>
      </c>
      <c r="I264" s="13">
        <v>2009</v>
      </c>
      <c r="J264" s="16" t="s">
        <v>12</v>
      </c>
      <c r="K264" s="16" t="s">
        <v>62</v>
      </c>
      <c r="L264" s="3" t="s">
        <v>60</v>
      </c>
      <c r="M264" s="3" t="s">
        <v>71</v>
      </c>
      <c r="N264" s="3" t="s">
        <v>72</v>
      </c>
    </row>
    <row r="265" spans="1:14" x14ac:dyDescent="0.3">
      <c r="A265" s="36" t="s">
        <v>37</v>
      </c>
      <c r="B265" s="13">
        <v>108</v>
      </c>
      <c r="C265" s="48" t="str">
        <f>HYPERLINK("https://uscode.house.gov/statutes/pl/108/275.pdf", "P.L. 108-275")</f>
        <v>P.L. 108-275</v>
      </c>
      <c r="D265" s="3" t="s">
        <v>563</v>
      </c>
      <c r="E265" s="3" t="s">
        <v>105</v>
      </c>
      <c r="F265" s="3" t="s">
        <v>564</v>
      </c>
      <c r="G265" s="49"/>
      <c r="H265" s="46">
        <v>40086</v>
      </c>
      <c r="I265" s="13">
        <v>2009</v>
      </c>
      <c r="J265" s="47">
        <v>2000000</v>
      </c>
      <c r="K265" s="16" t="s">
        <v>62</v>
      </c>
      <c r="L265" s="3" t="s">
        <v>41</v>
      </c>
      <c r="M265" s="3" t="s">
        <v>42</v>
      </c>
      <c r="N265" s="3" t="s">
        <v>43</v>
      </c>
    </row>
    <row r="266" spans="1:14" x14ac:dyDescent="0.3">
      <c r="A266" s="36" t="s">
        <v>37</v>
      </c>
      <c r="B266" s="13">
        <v>108</v>
      </c>
      <c r="C266" s="48" t="str">
        <f>HYPERLINK("https://uscode.house.gov/statutes/pl/108/328.pdf", "P.L. 108-328")</f>
        <v>P.L. 108-328</v>
      </c>
      <c r="D266" s="3" t="s">
        <v>565</v>
      </c>
      <c r="F266" s="3" t="s">
        <v>566</v>
      </c>
      <c r="G266" s="48" t="str">
        <f>HYPERLINK("https://uscode.house.gov/view.xhtml?req=granuleid:USC-prelim-title42-section300j-2&amp;num=0&amp;edition=prelim", "42 U.S.C. 300j-2(d)(4)")</f>
        <v>42 U.S.C. 300j-2(d)(4)</v>
      </c>
      <c r="H266" s="46">
        <v>40451</v>
      </c>
      <c r="I266" s="13">
        <v>2010</v>
      </c>
      <c r="J266" s="47">
        <v>15000000</v>
      </c>
      <c r="K266" s="16" t="s">
        <v>62</v>
      </c>
      <c r="L266" s="3" t="s">
        <v>60</v>
      </c>
      <c r="M266" s="3" t="s">
        <v>67</v>
      </c>
      <c r="N266" s="3" t="s">
        <v>49</v>
      </c>
    </row>
    <row r="267" spans="1:14" x14ac:dyDescent="0.3">
      <c r="A267" s="36" t="s">
        <v>37</v>
      </c>
      <c r="B267" s="13">
        <v>108</v>
      </c>
      <c r="C267" s="48" t="str">
        <f>HYPERLINK("https://uscode.house.gov/statutes/pl/108/354.pdf", "P.L. 108-354")</f>
        <v>P.L. 108-354</v>
      </c>
      <c r="D267" s="3" t="s">
        <v>567</v>
      </c>
      <c r="E267" s="3" t="s">
        <v>186</v>
      </c>
      <c r="F267" s="3" t="s">
        <v>568</v>
      </c>
      <c r="G267" s="49"/>
      <c r="H267" s="46">
        <v>40451</v>
      </c>
      <c r="I267" s="13">
        <v>2010</v>
      </c>
      <c r="J267" s="16" t="s">
        <v>12</v>
      </c>
      <c r="K267" s="16" t="s">
        <v>62</v>
      </c>
      <c r="L267" s="3" t="s">
        <v>47</v>
      </c>
      <c r="M267" s="3" t="s">
        <v>48</v>
      </c>
      <c r="N267" s="3" t="s">
        <v>58</v>
      </c>
    </row>
    <row r="268" spans="1:14" x14ac:dyDescent="0.3">
      <c r="A268" s="36" t="s">
        <v>37</v>
      </c>
      <c r="B268" s="13">
        <v>108</v>
      </c>
      <c r="C268" s="48" t="str">
        <f>HYPERLINK("https://uscode.house.gov/statutes/pl/108/354.pdf", "P.L. 108-354")</f>
        <v>P.L. 108-354</v>
      </c>
      <c r="D268" s="3" t="s">
        <v>567</v>
      </c>
      <c r="E268" s="3" t="s">
        <v>173</v>
      </c>
      <c r="F268" s="3" t="s">
        <v>569</v>
      </c>
      <c r="G268" s="49"/>
      <c r="H268" s="46">
        <v>40086</v>
      </c>
      <c r="I268" s="13">
        <v>2009</v>
      </c>
      <c r="J268" s="47">
        <v>3000000</v>
      </c>
      <c r="K268" s="16" t="s">
        <v>62</v>
      </c>
      <c r="L268" s="3" t="s">
        <v>47</v>
      </c>
      <c r="M268" s="3" t="s">
        <v>48</v>
      </c>
      <c r="N268" s="3" t="s">
        <v>58</v>
      </c>
    </row>
    <row r="269" spans="1:14" x14ac:dyDescent="0.3">
      <c r="A269" s="36" t="s">
        <v>37</v>
      </c>
      <c r="B269" s="13">
        <v>108</v>
      </c>
      <c r="C269" s="48" t="str">
        <f>HYPERLINK("https://uscode.house.gov/statutes/pl/108/364.pdf", "P.L. 108-364")</f>
        <v>P.L. 108-364</v>
      </c>
      <c r="D269" s="3" t="s">
        <v>570</v>
      </c>
      <c r="E269" s="3" t="s">
        <v>571</v>
      </c>
      <c r="F269" s="3" t="s">
        <v>572</v>
      </c>
      <c r="G269" s="48" t="str">
        <f>HYPERLINK("https://uscode.house.gov/view.xhtml?req=granuleid:USC-prelim-title29-section3007&amp;num=0&amp;edition=prelim", "29 U.S.C. 3007(a)")</f>
        <v>29 U.S.C. 3007(a)</v>
      </c>
      <c r="H269" s="46">
        <v>40451</v>
      </c>
      <c r="I269" s="13">
        <v>2010</v>
      </c>
      <c r="J269" s="16" t="s">
        <v>12</v>
      </c>
      <c r="K269" s="47">
        <v>40000000</v>
      </c>
      <c r="L269" s="3" t="s">
        <v>130</v>
      </c>
      <c r="M269" s="3" t="s">
        <v>71</v>
      </c>
      <c r="N269" s="3" t="s">
        <v>72</v>
      </c>
    </row>
    <row r="270" spans="1:14" x14ac:dyDescent="0.3">
      <c r="A270" s="36" t="s">
        <v>37</v>
      </c>
      <c r="B270" s="13">
        <v>108</v>
      </c>
      <c r="C270" s="48" t="str">
        <f>HYPERLINK("https://uscode.house.gov/statutes/pl/108/364.pdf", "P.L. 108-364")</f>
        <v>P.L. 108-364</v>
      </c>
      <c r="D270" s="3" t="s">
        <v>570</v>
      </c>
      <c r="E270" s="3" t="s">
        <v>573</v>
      </c>
      <c r="F270" s="3" t="s">
        <v>574</v>
      </c>
      <c r="G270" s="48" t="str">
        <f>HYPERLINK("https://uscode.house.gov/view.xhtml?req=granuleid:USC-prelim-title29-section3007&amp;num=0&amp;edition=prelim", "29 U.S.C. 3007(b)")</f>
        <v>29 U.S.C. 3007(b)</v>
      </c>
      <c r="H270" s="46">
        <v>40451</v>
      </c>
      <c r="I270" s="13">
        <v>2010</v>
      </c>
      <c r="J270" s="16" t="s">
        <v>12</v>
      </c>
      <c r="K270" s="16" t="s">
        <v>62</v>
      </c>
      <c r="L270" s="3" t="s">
        <v>130</v>
      </c>
      <c r="M270" s="3" t="s">
        <v>71</v>
      </c>
      <c r="N270" s="3" t="s">
        <v>72</v>
      </c>
    </row>
    <row r="271" spans="1:14" x14ac:dyDescent="0.3">
      <c r="A271" s="36" t="s">
        <v>37</v>
      </c>
      <c r="B271" s="13">
        <v>108</v>
      </c>
      <c r="C271" s="48" t="str">
        <f>HYPERLINK("https://uscode.house.gov/statutes/pl/108/372.pdf", "P.L. 108-372")</f>
        <v>P.L. 108-372</v>
      </c>
      <c r="D271" s="3" t="s">
        <v>575</v>
      </c>
      <c r="F271" s="3" t="s">
        <v>576</v>
      </c>
      <c r="G271" s="49"/>
      <c r="H271" s="46">
        <v>39721</v>
      </c>
      <c r="I271" s="13">
        <v>2008</v>
      </c>
      <c r="J271" s="47">
        <v>7000000</v>
      </c>
      <c r="K271" s="47">
        <v>7640000</v>
      </c>
      <c r="L271" s="3" t="s">
        <v>41</v>
      </c>
      <c r="M271" s="3" t="s">
        <v>42</v>
      </c>
      <c r="N271" s="3" t="s">
        <v>43</v>
      </c>
    </row>
    <row r="272" spans="1:14" x14ac:dyDescent="0.3">
      <c r="A272" s="36" t="s">
        <v>37</v>
      </c>
      <c r="B272" s="13">
        <v>108</v>
      </c>
      <c r="C272" s="48" t="str">
        <f>HYPERLINK("https://uscode.house.gov/statutes/pl/108/373.pdf", "P.L. 108-373")</f>
        <v>P.L. 108-373</v>
      </c>
      <c r="D272" s="3" t="s">
        <v>577</v>
      </c>
      <c r="F272" s="3" t="s">
        <v>578</v>
      </c>
      <c r="G272" s="48" t="str">
        <f>HYPERLINK("https://uscode.house.gov/view.xhtml?req=granuleid:USC-prelim-title42-section3231&amp;num=0&amp;edition=prelim", "42 U.S.C. 3231")</f>
        <v>42 U.S.C. 3231</v>
      </c>
      <c r="H272" s="46">
        <v>39721</v>
      </c>
      <c r="I272" s="13">
        <v>2008</v>
      </c>
      <c r="J272" s="47">
        <v>500000000</v>
      </c>
      <c r="K272" s="47">
        <v>1548000000</v>
      </c>
      <c r="L272" s="3" t="s">
        <v>109</v>
      </c>
      <c r="M272" s="3" t="s">
        <v>67</v>
      </c>
      <c r="N272" s="3" t="s">
        <v>43</v>
      </c>
    </row>
    <row r="273" spans="1:14" x14ac:dyDescent="0.3">
      <c r="A273" s="36" t="s">
        <v>37</v>
      </c>
      <c r="B273" s="13">
        <v>108</v>
      </c>
      <c r="C273" s="48" t="str">
        <f>HYPERLINK("https://uscode.house.gov/statutes/pl/108/374.pdf", "P.L. 108-374")</f>
        <v>P.L. 108-374</v>
      </c>
      <c r="D273" s="3" t="s">
        <v>579</v>
      </c>
      <c r="F273" s="3" t="s">
        <v>580</v>
      </c>
      <c r="G273" s="48" t="str">
        <f>HYPERLINK("https://uscode.house.gov/view.xhtml?req=granuleid:USC-prelim-title25-section2212&amp;num=0&amp;edition=prelim", "25 U.S.C. 2212(d)")</f>
        <v>25 U.S.C. 2212(d)</v>
      </c>
      <c r="H273" s="46">
        <v>40451</v>
      </c>
      <c r="I273" s="13">
        <v>2010</v>
      </c>
      <c r="J273" s="47">
        <v>145000000</v>
      </c>
      <c r="K273" s="16" t="s">
        <v>62</v>
      </c>
      <c r="L273" s="3" t="s">
        <v>47</v>
      </c>
      <c r="M273" s="3" t="s">
        <v>236</v>
      </c>
      <c r="N273" s="3" t="s">
        <v>49</v>
      </c>
    </row>
    <row r="274" spans="1:14" x14ac:dyDescent="0.3">
      <c r="A274" s="36" t="s">
        <v>37</v>
      </c>
      <c r="B274" s="13">
        <v>108</v>
      </c>
      <c r="C274" s="48" t="str">
        <f>HYPERLINK("https://uscode.house.gov/statutes/pl/108/383.pdf", "P.L. 108-383")</f>
        <v>P.L. 108-383</v>
      </c>
      <c r="D274" s="3" t="s">
        <v>581</v>
      </c>
      <c r="E274" s="3" t="s">
        <v>105</v>
      </c>
      <c r="F274" s="3" t="s">
        <v>582</v>
      </c>
      <c r="G274" s="48" t="str">
        <f>HYPERLINK("https://uscode.house.gov/view.xhtml?req=granuleid:USC-prelim-title44-section2504&amp;num=0&amp;edition=prelim", "44 U.S.C. 2504(g)(1)")</f>
        <v>44 U.S.C. 2504(g)(1)</v>
      </c>
      <c r="H274" s="46">
        <v>40086</v>
      </c>
      <c r="I274" s="13">
        <v>2009</v>
      </c>
      <c r="J274" s="47">
        <v>10000000</v>
      </c>
      <c r="K274" s="47">
        <v>34573000</v>
      </c>
      <c r="L274" s="3" t="s">
        <v>229</v>
      </c>
      <c r="M274" s="3" t="s">
        <v>230</v>
      </c>
      <c r="N274" s="3" t="s">
        <v>55</v>
      </c>
    </row>
    <row r="275" spans="1:14" x14ac:dyDescent="0.3">
      <c r="A275" s="36" t="s">
        <v>37</v>
      </c>
      <c r="B275" s="13">
        <v>108</v>
      </c>
      <c r="C275" s="48" t="str">
        <f>HYPERLINK("https://uscode.house.gov/statutes/pl/108/384.pdf", "P.L. 108-384")</f>
        <v>P.L. 108-384</v>
      </c>
      <c r="D275" s="3" t="s">
        <v>583</v>
      </c>
      <c r="E275" s="3" t="s">
        <v>584</v>
      </c>
      <c r="F275" s="3" t="s">
        <v>585</v>
      </c>
      <c r="G275" s="48" t="str">
        <f>HYPERLINK("https://uscode.house.gov/view.xhtml?req=granuleid:USC-prelim-title7-section8503&amp;num=0&amp;edition=prelim", "7 U.S.C. 8503")</f>
        <v>7 U.S.C. 8503</v>
      </c>
      <c r="H275" s="46">
        <v>40451</v>
      </c>
      <c r="I275" s="13">
        <v>2010</v>
      </c>
      <c r="J275" s="47">
        <v>3000000</v>
      </c>
      <c r="K275" s="47">
        <v>3500000</v>
      </c>
      <c r="L275" s="3" t="s">
        <v>47</v>
      </c>
      <c r="M275" s="3" t="s">
        <v>586</v>
      </c>
      <c r="N275" s="3" t="s">
        <v>49</v>
      </c>
    </row>
    <row r="276" spans="1:14" x14ac:dyDescent="0.3">
      <c r="A276" s="36" t="s">
        <v>37</v>
      </c>
      <c r="B276" s="13">
        <v>108</v>
      </c>
      <c r="C276" s="48" t="str">
        <f>HYPERLINK("https://uscode.house.gov/statutes/pl/108/384.pdf", "P.L. 108-384")</f>
        <v>P.L. 108-384</v>
      </c>
      <c r="D276" s="3" t="s">
        <v>583</v>
      </c>
      <c r="E276" s="3" t="s">
        <v>587</v>
      </c>
      <c r="F276" s="3" t="s">
        <v>588</v>
      </c>
      <c r="G276" s="48" t="str">
        <f>HYPERLINK("https://uscode.house.gov/view.xhtml?req=granuleid:USC-prelim-title7-section8503&amp;num=0&amp;edition=prelim", "7 U.S.C. 8503(c)(4)")</f>
        <v>7 U.S.C. 8503(c)(4)</v>
      </c>
      <c r="H276" s="46">
        <v>40451</v>
      </c>
      <c r="I276" s="13">
        <v>2010</v>
      </c>
      <c r="J276" s="47">
        <v>2000000</v>
      </c>
      <c r="K276" s="16" t="s">
        <v>62</v>
      </c>
      <c r="L276" s="3" t="s">
        <v>47</v>
      </c>
      <c r="M276" s="3" t="s">
        <v>586</v>
      </c>
      <c r="N276" s="3" t="s">
        <v>49</v>
      </c>
    </row>
    <row r="277" spans="1:14" x14ac:dyDescent="0.3">
      <c r="A277" s="36" t="s">
        <v>37</v>
      </c>
      <c r="B277" s="13">
        <v>108</v>
      </c>
      <c r="C277" s="48" t="str">
        <f>HYPERLINK("https://uscode.house.gov/statutes/pl/108/384.pdf", "P.L. 108-384")</f>
        <v>P.L. 108-384</v>
      </c>
      <c r="D277" s="3" t="s">
        <v>583</v>
      </c>
      <c r="E277" s="3" t="s">
        <v>589</v>
      </c>
      <c r="F277" s="3" t="s">
        <v>590</v>
      </c>
      <c r="G277" s="48" t="str">
        <f>HYPERLINK("https://uscode.house.gov/view.xhtml?req=granuleid:USC-prelim-title7-section8503&amp;num=0&amp;edition=prelim", "7 U.S.C. 8503(c)(5)")</f>
        <v>7 U.S.C. 8503(c)(5)</v>
      </c>
      <c r="H277" s="46">
        <v>40451</v>
      </c>
      <c r="I277" s="13">
        <v>2010</v>
      </c>
      <c r="J277" s="47">
        <v>1500000</v>
      </c>
      <c r="K277" s="16" t="s">
        <v>62</v>
      </c>
      <c r="L277" s="3" t="s">
        <v>47</v>
      </c>
      <c r="M277" s="3" t="s">
        <v>586</v>
      </c>
      <c r="N277" s="3" t="s">
        <v>49</v>
      </c>
    </row>
    <row r="278" spans="1:14" x14ac:dyDescent="0.3">
      <c r="A278" s="36" t="s">
        <v>37</v>
      </c>
      <c r="B278" s="13">
        <v>108</v>
      </c>
      <c r="C278" s="48" t="str">
        <f>HYPERLINK("https://uscode.house.gov/statutes/pl/108/384.pdf", "P.L. 108-384")</f>
        <v>P.L. 108-384</v>
      </c>
      <c r="D278" s="3" t="s">
        <v>583</v>
      </c>
      <c r="E278" s="3" t="s">
        <v>591</v>
      </c>
      <c r="F278" s="3" t="s">
        <v>592</v>
      </c>
      <c r="G278" s="48" t="str">
        <f>HYPERLINK("https://uscode.house.gov/view.xhtml?req=granuleid:USC-prelim-title7-section8504&amp;num=0&amp;edition=prelim", "7 U.S.C. 8504")</f>
        <v>7 U.S.C. 8504</v>
      </c>
      <c r="H278" s="46">
        <v>40451</v>
      </c>
      <c r="I278" s="13">
        <v>2010</v>
      </c>
      <c r="J278" s="47">
        <v>4000000</v>
      </c>
      <c r="K278" s="16" t="s">
        <v>62</v>
      </c>
      <c r="L278" s="3" t="s">
        <v>47</v>
      </c>
      <c r="M278" s="3" t="s">
        <v>586</v>
      </c>
      <c r="N278" s="3" t="s">
        <v>49</v>
      </c>
    </row>
    <row r="279" spans="1:14" x14ac:dyDescent="0.3">
      <c r="A279" s="36" t="s">
        <v>37</v>
      </c>
      <c r="B279" s="13">
        <v>108</v>
      </c>
      <c r="C279" s="48" t="str">
        <f>HYPERLINK("https://uscode.house.gov/statutes/pl/108/384.pdf", "P.L. 108-384")</f>
        <v>P.L. 108-384</v>
      </c>
      <c r="D279" s="3" t="s">
        <v>583</v>
      </c>
      <c r="E279" s="3" t="s">
        <v>593</v>
      </c>
      <c r="F279" s="3" t="s">
        <v>594</v>
      </c>
      <c r="G279" s="48" t="str">
        <f>HYPERLINK("https://uscode.house.gov/view.xhtml?req=granuleid:USC-prelim-title7-section8506&amp;num=0&amp;edition=prelim", "7 U.S.C. 8506")</f>
        <v>7 U.S.C. 8506</v>
      </c>
      <c r="H279" s="46">
        <v>40451</v>
      </c>
      <c r="I279" s="13">
        <v>2010</v>
      </c>
      <c r="J279" s="47">
        <v>900000</v>
      </c>
      <c r="K279" s="16" t="s">
        <v>62</v>
      </c>
      <c r="L279" s="3" t="s">
        <v>47</v>
      </c>
      <c r="M279" s="3" t="s">
        <v>586</v>
      </c>
      <c r="N279" s="3" t="s">
        <v>49</v>
      </c>
    </row>
    <row r="280" spans="1:14" x14ac:dyDescent="0.3">
      <c r="A280" s="36" t="s">
        <v>37</v>
      </c>
      <c r="B280" s="13">
        <v>108</v>
      </c>
      <c r="C280" s="48" t="str">
        <f>HYPERLINK("https://uscode.house.gov/statutes/pl/108/405.pdf", "P.L. 108-405")</f>
        <v>P.L. 108-405</v>
      </c>
      <c r="D280" s="3" t="s">
        <v>595</v>
      </c>
      <c r="E280" s="3" t="s">
        <v>596</v>
      </c>
      <c r="F280" s="3" t="s">
        <v>597</v>
      </c>
      <c r="G280" s="48" t="str">
        <f>HYPERLINK("https://uscode.house.gov/view.xhtml?req=granuleid:USC-prelim-title34-section20108&amp;num=0&amp;edition=prelim", "34 U.S.C. 20108")</f>
        <v>34 U.S.C. 20108</v>
      </c>
      <c r="H280" s="46">
        <v>40086</v>
      </c>
      <c r="I280" s="13">
        <v>2009</v>
      </c>
      <c r="J280" s="47">
        <v>5000000</v>
      </c>
      <c r="K280" s="16" t="s">
        <v>62</v>
      </c>
      <c r="L280" s="3" t="s">
        <v>41</v>
      </c>
      <c r="M280" s="3" t="s">
        <v>42</v>
      </c>
      <c r="N280" s="3" t="s">
        <v>43</v>
      </c>
    </row>
    <row r="281" spans="1:14" x14ac:dyDescent="0.3">
      <c r="A281" s="36" t="s">
        <v>37</v>
      </c>
      <c r="B281" s="13">
        <v>108</v>
      </c>
      <c r="C281" s="48" t="str">
        <f>HYPERLINK("https://uscode.house.gov/statutes/pl/108/405.pdf", "P.L. 108-405")</f>
        <v>P.L. 108-405</v>
      </c>
      <c r="D281" s="3" t="s">
        <v>595</v>
      </c>
      <c r="E281" s="3" t="s">
        <v>598</v>
      </c>
      <c r="F281" s="3" t="s">
        <v>599</v>
      </c>
      <c r="G281" s="48" t="str">
        <f>HYPERLINK("https://uscode.house.gov/view.xhtml?req=granuleid:USC-prelim-title42-section14136&amp;num=0&amp;edition=prelim", "42 U.S.C. 14136")</f>
        <v>42 U.S.C. 14136</v>
      </c>
      <c r="H281" s="46">
        <v>40086</v>
      </c>
      <c r="I281" s="13">
        <v>2009</v>
      </c>
      <c r="J281" s="47">
        <v>15000000</v>
      </c>
      <c r="K281" s="47">
        <v>15000000</v>
      </c>
      <c r="L281" s="3" t="s">
        <v>41</v>
      </c>
      <c r="M281" s="3" t="s">
        <v>42</v>
      </c>
      <c r="N281" s="3" t="s">
        <v>43</v>
      </c>
    </row>
    <row r="282" spans="1:14" x14ac:dyDescent="0.3">
      <c r="A282" s="36" t="s">
        <v>37</v>
      </c>
      <c r="B282" s="13">
        <v>108</v>
      </c>
      <c r="C282" s="48" t="str">
        <f>HYPERLINK("https://uscode.house.gov/statutes/pl/108/405.pdf", "P.L. 108-405")</f>
        <v>P.L. 108-405</v>
      </c>
      <c r="D282" s="3" t="s">
        <v>595</v>
      </c>
      <c r="E282" s="3" t="s">
        <v>600</v>
      </c>
      <c r="F282" s="3" t="s">
        <v>601</v>
      </c>
      <c r="G282" s="48" t="str">
        <f>HYPERLINK("https://uscode.house.gov/view.xhtml?req=granuleid:USC-prelim-title42-section14136c&amp;num=0&amp;edition=prelim", "42 U.S.C. 14136c")</f>
        <v>42 U.S.C. 14136c</v>
      </c>
      <c r="H282" s="46">
        <v>40086</v>
      </c>
      <c r="I282" s="13">
        <v>2009</v>
      </c>
      <c r="J282" s="47">
        <v>500000</v>
      </c>
      <c r="K282" s="16" t="s">
        <v>62</v>
      </c>
      <c r="L282" s="3" t="s">
        <v>41</v>
      </c>
      <c r="M282" s="3" t="s">
        <v>42</v>
      </c>
      <c r="N282" s="3" t="s">
        <v>43</v>
      </c>
    </row>
    <row r="283" spans="1:14" x14ac:dyDescent="0.3">
      <c r="A283" s="36" t="s">
        <v>37</v>
      </c>
      <c r="B283" s="13">
        <v>108</v>
      </c>
      <c r="C283" s="48" t="str">
        <f>HYPERLINK("https://uscode.house.gov/statutes/pl/108/405.pdf", "P.L. 108-405")</f>
        <v>P.L. 108-405</v>
      </c>
      <c r="D283" s="3" t="s">
        <v>595</v>
      </c>
      <c r="E283" s="3" t="s">
        <v>602</v>
      </c>
      <c r="F283" s="3" t="s">
        <v>603</v>
      </c>
      <c r="G283" s="48" t="str">
        <f>HYPERLINK("https://uscode.house.gov/view.xhtml?req=granuleid:USC-prelim-title42-section14136d&amp;num=0&amp;edition=prelim", "42 U.S.C. 14136d")</f>
        <v>42 U.S.C. 14136d</v>
      </c>
      <c r="H283" s="46">
        <v>40086</v>
      </c>
      <c r="I283" s="13">
        <v>2009</v>
      </c>
      <c r="J283" s="47">
        <v>2000000</v>
      </c>
      <c r="K283" s="16" t="s">
        <v>62</v>
      </c>
      <c r="L283" s="3" t="s">
        <v>41</v>
      </c>
      <c r="M283" s="3" t="s">
        <v>42</v>
      </c>
      <c r="N283" s="3" t="s">
        <v>43</v>
      </c>
    </row>
    <row r="284" spans="1:14" x14ac:dyDescent="0.3">
      <c r="A284" s="36" t="s">
        <v>37</v>
      </c>
      <c r="B284" s="13">
        <v>108</v>
      </c>
      <c r="C284" s="48" t="str">
        <f>HYPERLINK("https://uscode.house.gov/statutes/pl/108/405.pdf", "P.L. 108-405")</f>
        <v>P.L. 108-405</v>
      </c>
      <c r="D284" s="3" t="s">
        <v>595</v>
      </c>
      <c r="E284" s="3" t="s">
        <v>604</v>
      </c>
      <c r="F284" s="3" t="s">
        <v>605</v>
      </c>
      <c r="G284" s="48" t="str">
        <f>HYPERLINK("https://uscode.house.gov/view.xhtml?req=granuleid:USC-prelim-title42-section14163e&amp;num=0&amp;edition=prelim", "42 U.S.C. 14163e")</f>
        <v>42 U.S.C. 14163e</v>
      </c>
      <c r="H284" s="46">
        <v>40086</v>
      </c>
      <c r="I284" s="13">
        <v>2009</v>
      </c>
      <c r="J284" s="47">
        <v>75000000</v>
      </c>
      <c r="K284" s="47">
        <v>13000000</v>
      </c>
      <c r="L284" s="3" t="s">
        <v>41</v>
      </c>
      <c r="M284" s="3" t="s">
        <v>42</v>
      </c>
      <c r="N284" s="3" t="s">
        <v>43</v>
      </c>
    </row>
    <row r="285" spans="1:14" x14ac:dyDescent="0.3">
      <c r="A285" s="36" t="s">
        <v>37</v>
      </c>
      <c r="B285" s="13">
        <v>108</v>
      </c>
      <c r="C285" s="48" t="str">
        <f>HYPERLINK("https://uscode.house.gov/statutes/pl/108/420.pdf", "P.L. 108-420")</f>
        <v>P.L. 108-420</v>
      </c>
      <c r="D285" s="3" t="s">
        <v>606</v>
      </c>
      <c r="E285" s="3" t="s">
        <v>45</v>
      </c>
      <c r="F285" s="3" t="s">
        <v>607</v>
      </c>
      <c r="G285" s="49"/>
      <c r="H285" s="46">
        <v>40086</v>
      </c>
      <c r="I285" s="13">
        <v>2009</v>
      </c>
      <c r="J285" s="16" t="s">
        <v>12</v>
      </c>
      <c r="K285" s="16" t="s">
        <v>62</v>
      </c>
      <c r="L285" s="3" t="s">
        <v>47</v>
      </c>
      <c r="M285" s="3" t="s">
        <v>48</v>
      </c>
      <c r="N285" s="3" t="s">
        <v>49</v>
      </c>
    </row>
    <row r="286" spans="1:14" x14ac:dyDescent="0.3">
      <c r="A286" s="36" t="s">
        <v>37</v>
      </c>
      <c r="B286" s="13">
        <v>108</v>
      </c>
      <c r="C286" s="48" t="str">
        <f>HYPERLINK("https://uscode.house.gov/statutes/pl/108/421.pdf", "P.L. 108-421")</f>
        <v>P.L. 108-421</v>
      </c>
      <c r="D286" s="3" t="s">
        <v>608</v>
      </c>
      <c r="E286" s="3" t="s">
        <v>519</v>
      </c>
      <c r="F286" s="3" t="s">
        <v>609</v>
      </c>
      <c r="G286" s="49"/>
      <c r="H286" s="46">
        <v>41912</v>
      </c>
      <c r="I286" s="13">
        <v>2014</v>
      </c>
      <c r="J286" s="47">
        <v>1000000</v>
      </c>
      <c r="K286" s="47">
        <v>10000000</v>
      </c>
      <c r="L286" s="3" t="s">
        <v>47</v>
      </c>
      <c r="M286" s="3" t="s">
        <v>48</v>
      </c>
      <c r="N286" s="3" t="s">
        <v>49</v>
      </c>
    </row>
    <row r="287" spans="1:14" x14ac:dyDescent="0.3">
      <c r="A287" s="36" t="s">
        <v>37</v>
      </c>
      <c r="B287" s="13">
        <v>108</v>
      </c>
      <c r="C287" s="48" t="str">
        <f>HYPERLINK("https://uscode.house.gov/statutes/pl/108/422.pdf", "P.L. 108-422")</f>
        <v>P.L. 108-422</v>
      </c>
      <c r="D287" s="3" t="s">
        <v>610</v>
      </c>
      <c r="E287" s="3" t="s">
        <v>95</v>
      </c>
      <c r="F287" s="3" t="s">
        <v>611</v>
      </c>
      <c r="G287" s="49"/>
      <c r="H287" s="46">
        <v>39721</v>
      </c>
      <c r="I287" s="13">
        <v>2008</v>
      </c>
      <c r="J287" s="47">
        <v>8000000</v>
      </c>
      <c r="K287" s="16" t="s">
        <v>62</v>
      </c>
      <c r="L287" s="3" t="s">
        <v>265</v>
      </c>
      <c r="M287" s="3" t="s">
        <v>266</v>
      </c>
      <c r="N287" s="3" t="s">
        <v>267</v>
      </c>
    </row>
    <row r="288" spans="1:14" x14ac:dyDescent="0.3">
      <c r="A288" s="36" t="s">
        <v>37</v>
      </c>
      <c r="B288" s="13">
        <v>108</v>
      </c>
      <c r="C288" s="48" t="str">
        <f>HYPERLINK("https://uscode.house.gov/statutes/pl/108/422.pdf", "P.L. 108-422")</f>
        <v>P.L. 108-422</v>
      </c>
      <c r="D288" s="3" t="s">
        <v>610</v>
      </c>
      <c r="E288" s="3" t="s">
        <v>83</v>
      </c>
      <c r="F288" s="3" t="s">
        <v>612</v>
      </c>
      <c r="G288" s="49"/>
      <c r="H288" s="46">
        <v>39355</v>
      </c>
      <c r="I288" s="13">
        <v>2007</v>
      </c>
      <c r="J288" s="47">
        <v>10000000</v>
      </c>
      <c r="K288" s="16" t="s">
        <v>62</v>
      </c>
      <c r="L288" s="3" t="s">
        <v>265</v>
      </c>
      <c r="M288" s="3" t="s">
        <v>266</v>
      </c>
      <c r="N288" s="3" t="s">
        <v>267</v>
      </c>
    </row>
    <row r="289" spans="1:14" x14ac:dyDescent="0.3">
      <c r="A289" s="36" t="s">
        <v>37</v>
      </c>
      <c r="B289" s="13">
        <v>108</v>
      </c>
      <c r="C289" s="48" t="str">
        <f>HYPERLINK("https://uscode.house.gov/statutes/pl/108/446.pdf", "P.L. 108-446")</f>
        <v>P.L. 108-446</v>
      </c>
      <c r="D289" s="3" t="s">
        <v>613</v>
      </c>
      <c r="E289" s="3" t="s">
        <v>614</v>
      </c>
      <c r="F289" s="3" t="s">
        <v>615</v>
      </c>
      <c r="G289" s="48" t="str">
        <f>HYPERLINK("https://uscode.house.gov/view.xhtml?req=granuleid:USC-prelim-title20-section1444&amp;num=0&amp;edition=prelim", "20 U.S.C. 1444")</f>
        <v>20 U.S.C. 1444</v>
      </c>
      <c r="H289" s="46">
        <v>40451</v>
      </c>
      <c r="I289" s="13">
        <v>2010</v>
      </c>
      <c r="J289" s="16" t="s">
        <v>12</v>
      </c>
      <c r="K289" s="47">
        <v>540000000</v>
      </c>
      <c r="L289" s="3" t="s">
        <v>130</v>
      </c>
      <c r="M289" s="3" t="s">
        <v>71</v>
      </c>
      <c r="N289" s="3" t="s">
        <v>72</v>
      </c>
    </row>
    <row r="290" spans="1:14" x14ac:dyDescent="0.3">
      <c r="A290" s="36" t="s">
        <v>37</v>
      </c>
      <c r="B290" s="13">
        <v>108</v>
      </c>
      <c r="C290" s="48" t="str">
        <f>HYPERLINK("https://uscode.house.gov/statutes/pl/108/446.pdf", "P.L. 108-446")</f>
        <v>P.L. 108-446</v>
      </c>
      <c r="D290" s="3" t="s">
        <v>613</v>
      </c>
      <c r="E290" s="3" t="s">
        <v>616</v>
      </c>
      <c r="F290" s="3" t="s">
        <v>617</v>
      </c>
      <c r="G290" s="48" t="str">
        <f>HYPERLINK("https://uscode.house.gov/view.xhtml?req=granuleid:USC-prelim-title20-section1455&amp;num=0&amp;edition=prelim", "20 U.S.C. 1455")</f>
        <v>20 U.S.C. 1455</v>
      </c>
      <c r="H290" s="46">
        <v>40451</v>
      </c>
      <c r="I290" s="13">
        <v>2010</v>
      </c>
      <c r="J290" s="16" t="s">
        <v>12</v>
      </c>
      <c r="K290" s="47">
        <v>38630000</v>
      </c>
      <c r="L290" s="3" t="s">
        <v>130</v>
      </c>
      <c r="M290" s="3" t="s">
        <v>71</v>
      </c>
      <c r="N290" s="3" t="s">
        <v>72</v>
      </c>
    </row>
    <row r="291" spans="1:14" x14ac:dyDescent="0.3">
      <c r="A291" s="36" t="s">
        <v>37</v>
      </c>
      <c r="B291" s="13">
        <v>108</v>
      </c>
      <c r="C291" s="48" t="str">
        <f>HYPERLINK("https://uscode.house.gov/statutes/pl/108/446.pdf", "P.L. 108-446")</f>
        <v>P.L. 108-446</v>
      </c>
      <c r="D291" s="3" t="s">
        <v>613</v>
      </c>
      <c r="E291" s="3" t="s">
        <v>618</v>
      </c>
      <c r="F291" s="3" t="s">
        <v>619</v>
      </c>
      <c r="G291" s="48" t="str">
        <f>HYPERLINK("https://uscode.house.gov/view.xhtml?req=granuleid:USC-prelim-title20-section1466&amp;num=0&amp;edition=prelim", "20 U.S.C. 1466(a)")</f>
        <v>20 U.S.C. 1466(a)</v>
      </c>
      <c r="H291" s="46">
        <v>40451</v>
      </c>
      <c r="I291" s="13">
        <v>2010</v>
      </c>
      <c r="J291" s="16" t="s">
        <v>12</v>
      </c>
      <c r="K291" s="47">
        <v>260930000</v>
      </c>
      <c r="L291" s="3" t="s">
        <v>130</v>
      </c>
      <c r="M291" s="3" t="s">
        <v>71</v>
      </c>
      <c r="N291" s="3" t="s">
        <v>72</v>
      </c>
    </row>
    <row r="292" spans="1:14" x14ac:dyDescent="0.3">
      <c r="A292" s="36" t="s">
        <v>37</v>
      </c>
      <c r="B292" s="13">
        <v>108</v>
      </c>
      <c r="C292" s="48" t="str">
        <f>HYPERLINK("https://uscode.house.gov/statutes/pl/108/447.pdf", "P.L. 108-447")</f>
        <v>P.L. 108-447</v>
      </c>
      <c r="D292" s="3" t="s">
        <v>620</v>
      </c>
      <c r="E292" s="3" t="s">
        <v>621</v>
      </c>
      <c r="F292" s="3" t="s">
        <v>622</v>
      </c>
      <c r="G292" s="48" t="str">
        <f>HYPERLINK("https://uscode.house.gov/view.xhtml?req=granuleid:USC-prelim-title33-section3104&amp;num=0&amp;edition=prelim", "33 U.S.C. 3104")</f>
        <v>33 U.S.C. 3104</v>
      </c>
      <c r="H292" s="46">
        <v>39721</v>
      </c>
      <c r="I292" s="13">
        <v>2008</v>
      </c>
      <c r="J292" s="47">
        <v>60000000</v>
      </c>
      <c r="K292" s="16" t="s">
        <v>62</v>
      </c>
      <c r="L292" s="3" t="s">
        <v>135</v>
      </c>
      <c r="M292" s="3" t="s">
        <v>148</v>
      </c>
      <c r="N292" s="3" t="s">
        <v>43</v>
      </c>
    </row>
    <row r="293" spans="1:14" x14ac:dyDescent="0.3">
      <c r="A293" s="36" t="s">
        <v>37</v>
      </c>
      <c r="B293" s="13">
        <v>108</v>
      </c>
      <c r="C293" s="48" t="str">
        <f>HYPERLINK("https://uscode.house.gov/statutes/pl/108/447.pdf", "P.L. 108-447")</f>
        <v>P.L. 108-447</v>
      </c>
      <c r="D293" s="3" t="s">
        <v>620</v>
      </c>
      <c r="E293" s="3" t="s">
        <v>623</v>
      </c>
      <c r="F293" s="3" t="s">
        <v>624</v>
      </c>
      <c r="G293" s="49"/>
      <c r="H293" s="46">
        <v>41547</v>
      </c>
      <c r="I293" s="13">
        <v>2013</v>
      </c>
      <c r="J293" s="47">
        <v>9000000</v>
      </c>
      <c r="K293" s="16" t="s">
        <v>62</v>
      </c>
      <c r="L293" s="3" t="s">
        <v>47</v>
      </c>
      <c r="M293" s="3" t="s">
        <v>236</v>
      </c>
      <c r="N293" s="3" t="s">
        <v>49</v>
      </c>
    </row>
    <row r="294" spans="1:14" x14ac:dyDescent="0.3">
      <c r="A294" s="36" t="s">
        <v>37</v>
      </c>
      <c r="B294" s="13">
        <v>108</v>
      </c>
      <c r="C294" s="48" t="str">
        <f>HYPERLINK("https://uscode.house.gov/statutes/pl/108/447.pdf", "P.L. 108-447")</f>
        <v>P.L. 108-447</v>
      </c>
      <c r="D294" s="3" t="s">
        <v>620</v>
      </c>
      <c r="E294" s="3" t="s">
        <v>625</v>
      </c>
      <c r="F294" s="3" t="s">
        <v>626</v>
      </c>
      <c r="G294" s="49"/>
      <c r="H294" s="46">
        <v>40816</v>
      </c>
      <c r="I294" s="13">
        <v>2011</v>
      </c>
      <c r="J294" s="47">
        <v>1300000</v>
      </c>
      <c r="K294" s="16" t="s">
        <v>62</v>
      </c>
      <c r="L294" s="3" t="s">
        <v>47</v>
      </c>
      <c r="M294" s="3" t="s">
        <v>236</v>
      </c>
      <c r="N294" s="3" t="s">
        <v>49</v>
      </c>
    </row>
    <row r="295" spans="1:14" x14ac:dyDescent="0.3">
      <c r="A295" s="36" t="s">
        <v>37</v>
      </c>
      <c r="B295" s="13">
        <v>108</v>
      </c>
      <c r="C295" s="48" t="str">
        <f>HYPERLINK("https://uscode.house.gov/statutes/pl/108/447.pdf", "P.L. 108-447")</f>
        <v>P.L. 108-447</v>
      </c>
      <c r="D295" s="3" t="s">
        <v>620</v>
      </c>
      <c r="E295" s="3" t="s">
        <v>627</v>
      </c>
      <c r="F295" s="3" t="s">
        <v>628</v>
      </c>
      <c r="G295" s="49"/>
      <c r="H295" s="46">
        <v>40816</v>
      </c>
      <c r="I295" s="13">
        <v>2011</v>
      </c>
      <c r="J295" s="47">
        <v>2533000</v>
      </c>
      <c r="K295" s="16" t="s">
        <v>62</v>
      </c>
      <c r="L295" s="3" t="s">
        <v>47</v>
      </c>
      <c r="M295" s="3" t="s">
        <v>236</v>
      </c>
      <c r="N295" s="3" t="s">
        <v>49</v>
      </c>
    </row>
    <row r="296" spans="1:14" x14ac:dyDescent="0.3">
      <c r="A296" s="36" t="s">
        <v>37</v>
      </c>
      <c r="B296" s="13">
        <v>108</v>
      </c>
      <c r="C296" s="48" t="str">
        <f>HYPERLINK("https://uscode.house.gov/statutes/pl/108/447.pdf", "P.L. 108-447")</f>
        <v>P.L. 108-447</v>
      </c>
      <c r="D296" s="3" t="s">
        <v>620</v>
      </c>
      <c r="E296" s="3" t="s">
        <v>629</v>
      </c>
      <c r="F296" s="3" t="s">
        <v>630</v>
      </c>
      <c r="G296" s="49"/>
      <c r="H296" s="46">
        <v>40816</v>
      </c>
      <c r="I296" s="13">
        <v>2011</v>
      </c>
      <c r="J296" s="47">
        <v>5067000</v>
      </c>
      <c r="K296" s="16" t="s">
        <v>62</v>
      </c>
      <c r="L296" s="3" t="s">
        <v>47</v>
      </c>
      <c r="M296" s="3" t="s">
        <v>236</v>
      </c>
      <c r="N296" s="3" t="s">
        <v>49</v>
      </c>
    </row>
    <row r="297" spans="1:14" x14ac:dyDescent="0.3">
      <c r="A297" s="36" t="s">
        <v>37</v>
      </c>
      <c r="B297" s="13">
        <v>108</v>
      </c>
      <c r="C297" s="48" t="str">
        <f t="shared" ref="C297:C302" si="9">HYPERLINK("https://uscode.house.gov/statutes/pl/108/458.pdf", "P.L. 108-458")</f>
        <v>P.L. 108-458</v>
      </c>
      <c r="D297" s="3" t="s">
        <v>631</v>
      </c>
      <c r="E297" s="3" t="s">
        <v>632</v>
      </c>
      <c r="F297" s="3" t="s">
        <v>633</v>
      </c>
      <c r="G297" s="48" t="str">
        <f>HYPERLINK("https://uscode.house.gov/view.xhtml?req=granuleid:USC-prelim-title22-section1431&amp;num=0&amp;edition=prelim", "22 U.S.C. 1431")</f>
        <v>22 U.S.C. 1431</v>
      </c>
      <c r="H297" s="46">
        <v>38990</v>
      </c>
      <c r="I297" s="13">
        <v>2006</v>
      </c>
      <c r="J297" s="16" t="s">
        <v>12</v>
      </c>
      <c r="K297" s="16" t="s">
        <v>62</v>
      </c>
      <c r="L297" s="3" t="s">
        <v>80</v>
      </c>
      <c r="M297" s="3" t="s">
        <v>81</v>
      </c>
      <c r="N297" s="3" t="s">
        <v>82</v>
      </c>
    </row>
    <row r="298" spans="1:14" x14ac:dyDescent="0.3">
      <c r="A298" s="36" t="s">
        <v>37</v>
      </c>
      <c r="B298" s="13">
        <v>108</v>
      </c>
      <c r="C298" s="48" t="str">
        <f t="shared" si="9"/>
        <v>P.L. 108-458</v>
      </c>
      <c r="D298" s="3" t="s">
        <v>631</v>
      </c>
      <c r="E298" s="3" t="s">
        <v>634</v>
      </c>
      <c r="F298" s="3" t="s">
        <v>635</v>
      </c>
      <c r="G298" s="48" t="str">
        <f>HYPERLINK("https://uscode.house.gov/view.xhtml?req=granuleid:USC-prelim-title22-section1431&amp;num=0&amp;edition=prelim", "22 U.S.C. 1431")</f>
        <v>22 U.S.C. 1431</v>
      </c>
      <c r="H298" s="46">
        <v>38990</v>
      </c>
      <c r="I298" s="13">
        <v>2006</v>
      </c>
      <c r="J298" s="16" t="s">
        <v>12</v>
      </c>
      <c r="K298" s="16" t="s">
        <v>62</v>
      </c>
      <c r="L298" s="3" t="s">
        <v>80</v>
      </c>
      <c r="M298" s="3" t="s">
        <v>81</v>
      </c>
      <c r="N298" s="3" t="s">
        <v>82</v>
      </c>
    </row>
    <row r="299" spans="1:14" x14ac:dyDescent="0.3">
      <c r="A299" s="36" t="s">
        <v>37</v>
      </c>
      <c r="B299" s="13">
        <v>108</v>
      </c>
      <c r="C299" s="48" t="str">
        <f t="shared" si="9"/>
        <v>P.L. 108-458</v>
      </c>
      <c r="D299" s="3" t="s">
        <v>631</v>
      </c>
      <c r="E299" s="3" t="s">
        <v>636</v>
      </c>
      <c r="F299" s="3" t="s">
        <v>637</v>
      </c>
      <c r="G299" s="48" t="str">
        <f>HYPERLINK("https://uscode.house.gov/view.xhtml?req=granuleid:USC-prelim-title22-section2453&amp;num=0&amp;edition=prelim", "22 U.S.C. 2453(c)")</f>
        <v>22 U.S.C. 2453(c)</v>
      </c>
      <c r="H299" s="46">
        <v>38990</v>
      </c>
      <c r="I299" s="13">
        <v>2006</v>
      </c>
      <c r="J299" s="16" t="s">
        <v>12</v>
      </c>
      <c r="K299" s="16" t="s">
        <v>62</v>
      </c>
      <c r="L299" s="3" t="s">
        <v>80</v>
      </c>
      <c r="M299" s="3" t="s">
        <v>81</v>
      </c>
      <c r="N299" s="3" t="s">
        <v>82</v>
      </c>
    </row>
    <row r="300" spans="1:14" x14ac:dyDescent="0.3">
      <c r="A300" s="36" t="s">
        <v>37</v>
      </c>
      <c r="B300" s="13">
        <v>108</v>
      </c>
      <c r="C300" s="48" t="str">
        <f t="shared" si="9"/>
        <v>P.L. 108-458</v>
      </c>
      <c r="D300" s="3" t="s">
        <v>631</v>
      </c>
      <c r="E300" s="3" t="s">
        <v>638</v>
      </c>
      <c r="F300" s="3" t="s">
        <v>639</v>
      </c>
      <c r="G300" s="48" t="str">
        <f>HYPERLINK("https://uscode.house.gov/view.xhtml?req=granuleid:USC-prelim-title8-section1225a&amp;num=0&amp;edition=prelim", "8 U.S.C. 1225a")</f>
        <v>8 U.S.C. 1225a</v>
      </c>
      <c r="H300" s="46">
        <v>39355</v>
      </c>
      <c r="I300" s="13">
        <v>2007</v>
      </c>
      <c r="J300" s="47">
        <v>40000000</v>
      </c>
      <c r="K300" s="16" t="s">
        <v>62</v>
      </c>
      <c r="L300" s="3" t="s">
        <v>41</v>
      </c>
      <c r="M300" s="3" t="s">
        <v>42</v>
      </c>
      <c r="N300" s="3" t="s">
        <v>122</v>
      </c>
    </row>
    <row r="301" spans="1:14" x14ac:dyDescent="0.3">
      <c r="A301" s="36" t="s">
        <v>37</v>
      </c>
      <c r="B301" s="13">
        <v>108</v>
      </c>
      <c r="C301" s="48" t="str">
        <f t="shared" si="9"/>
        <v>P.L. 108-458</v>
      </c>
      <c r="D301" s="3" t="s">
        <v>631</v>
      </c>
      <c r="E301" s="3" t="s">
        <v>640</v>
      </c>
      <c r="F301" s="3" t="s">
        <v>641</v>
      </c>
      <c r="G301" s="48" t="str">
        <f>HYPERLINK("https://uscode.house.gov/view.xhtml?req=granuleid:USC-prelim-title8-section1365b&amp;num=0&amp;edition=prelim", "8 U.S.C. 1365b")</f>
        <v>8 U.S.C. 1365b</v>
      </c>
      <c r="H301" s="46">
        <v>40086</v>
      </c>
      <c r="I301" s="13">
        <v>2009</v>
      </c>
      <c r="J301" s="16" t="s">
        <v>12</v>
      </c>
      <c r="K301" s="47">
        <v>46540000</v>
      </c>
      <c r="L301" s="3" t="s">
        <v>642</v>
      </c>
      <c r="M301" s="3" t="s">
        <v>230</v>
      </c>
      <c r="N301" s="3" t="s">
        <v>122</v>
      </c>
    </row>
    <row r="302" spans="1:14" x14ac:dyDescent="0.3">
      <c r="A302" s="36" t="s">
        <v>37</v>
      </c>
      <c r="B302" s="13">
        <v>108</v>
      </c>
      <c r="C302" s="48" t="str">
        <f t="shared" si="9"/>
        <v>P.L. 108-458</v>
      </c>
      <c r="D302" s="3" t="s">
        <v>631</v>
      </c>
      <c r="E302" s="3" t="s">
        <v>643</v>
      </c>
      <c r="F302" s="3" t="s">
        <v>644</v>
      </c>
      <c r="G302" s="48" t="str">
        <f>HYPERLINK("https://uscode.house.gov/view.xhtml?req=granuleid:USC-prelim-title6-section194&amp;num=0&amp;edition=prelim", "6 U.S.C. 194")</f>
        <v>6 U.S.C. 194</v>
      </c>
      <c r="H302" s="46">
        <v>40086</v>
      </c>
      <c r="I302" s="13">
        <v>2009</v>
      </c>
      <c r="J302" s="47">
        <v>24879000</v>
      </c>
      <c r="K302" s="16" t="s">
        <v>62</v>
      </c>
      <c r="L302" s="3" t="s">
        <v>135</v>
      </c>
      <c r="M302" s="3" t="s">
        <v>148</v>
      </c>
      <c r="N302" s="3" t="s">
        <v>122</v>
      </c>
    </row>
    <row r="303" spans="1:14" x14ac:dyDescent="0.3">
      <c r="A303" s="36" t="s">
        <v>37</v>
      </c>
      <c r="B303" s="13">
        <v>109</v>
      </c>
      <c r="C303" s="48" t="str">
        <f t="shared" ref="C303:C334" si="10">HYPERLINK("https://uscode.house.gov/statutes/pl/109/58.pdf", "P.L. 109-58")</f>
        <v>P.L. 109-58</v>
      </c>
      <c r="D303" s="3" t="s">
        <v>645</v>
      </c>
      <c r="E303" s="3" t="s">
        <v>646</v>
      </c>
      <c r="F303" s="3" t="s">
        <v>647</v>
      </c>
      <c r="G303" s="49"/>
      <c r="H303" s="46">
        <v>39721</v>
      </c>
      <c r="I303" s="13">
        <v>2008</v>
      </c>
      <c r="J303" s="47">
        <v>6000000</v>
      </c>
      <c r="K303" s="16" t="s">
        <v>62</v>
      </c>
      <c r="L303" s="3" t="s">
        <v>60</v>
      </c>
      <c r="M303" s="3" t="s">
        <v>48</v>
      </c>
      <c r="N303" s="3" t="s">
        <v>58</v>
      </c>
    </row>
    <row r="304" spans="1:14" x14ac:dyDescent="0.3">
      <c r="A304" s="36" t="s">
        <v>37</v>
      </c>
      <c r="B304" s="13">
        <v>109</v>
      </c>
      <c r="C304" s="48" t="str">
        <f t="shared" si="10"/>
        <v>P.L. 109-58</v>
      </c>
      <c r="D304" s="3" t="s">
        <v>645</v>
      </c>
      <c r="E304" s="3" t="s">
        <v>648</v>
      </c>
      <c r="F304" s="3" t="s">
        <v>649</v>
      </c>
      <c r="G304" s="48" t="str">
        <f>HYPERLINK("https://uscode.house.gov/view.xhtml?req=granuleid:USC-prelim-title42-section8621&amp;num=0&amp;edition=prelim", "42 U.S.C. 8621(a)")</f>
        <v>42 U.S.C. 8621(a)</v>
      </c>
      <c r="H304" s="46">
        <v>39355</v>
      </c>
      <c r="I304" s="13">
        <v>2007</v>
      </c>
      <c r="J304" s="47">
        <v>5100000000</v>
      </c>
      <c r="K304" s="47">
        <v>6100000000</v>
      </c>
      <c r="L304" s="3" t="s">
        <v>60</v>
      </c>
      <c r="M304" s="3" t="s">
        <v>48</v>
      </c>
      <c r="N304" s="3" t="s">
        <v>72</v>
      </c>
    </row>
    <row r="305" spans="1:14" x14ac:dyDescent="0.3">
      <c r="A305" s="36" t="s">
        <v>37</v>
      </c>
      <c r="B305" s="13">
        <v>109</v>
      </c>
      <c r="C305" s="48" t="str">
        <f t="shared" si="10"/>
        <v>P.L. 109-58</v>
      </c>
      <c r="D305" s="3" t="s">
        <v>645</v>
      </c>
      <c r="E305" s="3" t="s">
        <v>650</v>
      </c>
      <c r="F305" s="3" t="s">
        <v>651</v>
      </c>
      <c r="G305" s="49"/>
      <c r="H305" s="46">
        <v>40451</v>
      </c>
      <c r="I305" s="13">
        <v>2010</v>
      </c>
      <c r="J305" s="47">
        <v>80000000</v>
      </c>
      <c r="K305" s="16" t="s">
        <v>62</v>
      </c>
      <c r="L305" s="3" t="s">
        <v>60</v>
      </c>
      <c r="M305" s="3" t="s">
        <v>48</v>
      </c>
      <c r="N305" s="3" t="s">
        <v>58</v>
      </c>
    </row>
    <row r="306" spans="1:14" x14ac:dyDescent="0.3">
      <c r="A306" s="36" t="s">
        <v>37</v>
      </c>
      <c r="B306" s="13">
        <v>109</v>
      </c>
      <c r="C306" s="48" t="str">
        <f t="shared" si="10"/>
        <v>P.L. 109-58</v>
      </c>
      <c r="D306" s="3" t="s">
        <v>645</v>
      </c>
      <c r="E306" s="3" t="s">
        <v>652</v>
      </c>
      <c r="F306" s="3" t="s">
        <v>653</v>
      </c>
      <c r="G306" s="49"/>
      <c r="H306" s="46">
        <v>39721</v>
      </c>
      <c r="I306" s="13">
        <v>2008</v>
      </c>
      <c r="J306" s="47">
        <v>20000000</v>
      </c>
      <c r="K306" s="16" t="s">
        <v>62</v>
      </c>
      <c r="L306" s="3" t="s">
        <v>60</v>
      </c>
      <c r="M306" s="3" t="s">
        <v>48</v>
      </c>
      <c r="N306" s="3" t="s">
        <v>58</v>
      </c>
    </row>
    <row r="307" spans="1:14" x14ac:dyDescent="0.3">
      <c r="A307" s="36" t="s">
        <v>37</v>
      </c>
      <c r="B307" s="13">
        <v>109</v>
      </c>
      <c r="C307" s="48" t="str">
        <f t="shared" si="10"/>
        <v>P.L. 109-58</v>
      </c>
      <c r="D307" s="3" t="s">
        <v>645</v>
      </c>
      <c r="E307" s="3" t="s">
        <v>654</v>
      </c>
      <c r="F307" s="3" t="s">
        <v>655</v>
      </c>
      <c r="G307" s="49"/>
      <c r="H307" s="46">
        <v>40451</v>
      </c>
      <c r="I307" s="13">
        <v>2010</v>
      </c>
      <c r="J307" s="47">
        <v>90000000</v>
      </c>
      <c r="K307" s="16" t="s">
        <v>62</v>
      </c>
      <c r="L307" s="3" t="s">
        <v>60</v>
      </c>
      <c r="M307" s="3" t="s">
        <v>48</v>
      </c>
      <c r="N307" s="3" t="s">
        <v>58</v>
      </c>
    </row>
    <row r="308" spans="1:14" x14ac:dyDescent="0.3">
      <c r="A308" s="36" t="s">
        <v>37</v>
      </c>
      <c r="B308" s="13">
        <v>109</v>
      </c>
      <c r="C308" s="48" t="str">
        <f t="shared" si="10"/>
        <v>P.L. 109-58</v>
      </c>
      <c r="D308" s="3" t="s">
        <v>645</v>
      </c>
      <c r="E308" s="3" t="s">
        <v>656</v>
      </c>
      <c r="F308" s="3" t="s">
        <v>657</v>
      </c>
      <c r="G308" s="49"/>
      <c r="H308" s="46">
        <v>40451</v>
      </c>
      <c r="I308" s="13">
        <v>2010</v>
      </c>
      <c r="J308" s="47">
        <v>5000000</v>
      </c>
      <c r="K308" s="16" t="s">
        <v>62</v>
      </c>
      <c r="L308" s="3" t="s">
        <v>60</v>
      </c>
      <c r="M308" s="3" t="s">
        <v>48</v>
      </c>
      <c r="N308" s="3" t="s">
        <v>58</v>
      </c>
    </row>
    <row r="309" spans="1:14" x14ac:dyDescent="0.3">
      <c r="A309" s="36" t="s">
        <v>37</v>
      </c>
      <c r="B309" s="13">
        <v>109</v>
      </c>
      <c r="C309" s="48" t="str">
        <f t="shared" si="10"/>
        <v>P.L. 109-58</v>
      </c>
      <c r="D309" s="3" t="s">
        <v>645</v>
      </c>
      <c r="E309" s="3" t="s">
        <v>173</v>
      </c>
      <c r="F309" s="3" t="s">
        <v>658</v>
      </c>
      <c r="G309" s="49"/>
      <c r="H309" s="46">
        <v>46295</v>
      </c>
      <c r="I309" s="13">
        <v>2026</v>
      </c>
      <c r="J309" s="16" t="s">
        <v>12</v>
      </c>
      <c r="K309" s="16" t="s">
        <v>62</v>
      </c>
      <c r="L309" s="3" t="s">
        <v>60</v>
      </c>
      <c r="M309" s="3" t="s">
        <v>48</v>
      </c>
      <c r="N309" s="3" t="s">
        <v>58</v>
      </c>
    </row>
    <row r="310" spans="1:14" x14ac:dyDescent="0.3">
      <c r="A310" s="36" t="s">
        <v>37</v>
      </c>
      <c r="B310" s="13">
        <v>109</v>
      </c>
      <c r="C310" s="48" t="str">
        <f t="shared" si="10"/>
        <v>P.L. 109-58</v>
      </c>
      <c r="D310" s="3" t="s">
        <v>645</v>
      </c>
      <c r="E310" s="3" t="s">
        <v>659</v>
      </c>
      <c r="F310" s="3" t="s">
        <v>660</v>
      </c>
      <c r="G310" s="49"/>
      <c r="H310" s="46">
        <v>40451</v>
      </c>
      <c r="I310" s="13">
        <v>2010</v>
      </c>
      <c r="J310" s="47">
        <v>60000000</v>
      </c>
      <c r="K310" s="16" t="s">
        <v>62</v>
      </c>
      <c r="L310" s="3" t="s">
        <v>109</v>
      </c>
      <c r="M310" s="3" t="s">
        <v>48</v>
      </c>
      <c r="N310" s="3" t="s">
        <v>58</v>
      </c>
    </row>
    <row r="311" spans="1:14" x14ac:dyDescent="0.3">
      <c r="A311" s="36" t="s">
        <v>37</v>
      </c>
      <c r="B311" s="13">
        <v>109</v>
      </c>
      <c r="C311" s="48" t="str">
        <f t="shared" si="10"/>
        <v>P.L. 109-58</v>
      </c>
      <c r="D311" s="3" t="s">
        <v>645</v>
      </c>
      <c r="E311" s="3" t="s">
        <v>661</v>
      </c>
      <c r="F311" s="3" t="s">
        <v>662</v>
      </c>
      <c r="G311" s="49"/>
      <c r="H311" s="46">
        <v>40451</v>
      </c>
      <c r="I311" s="13">
        <v>2010</v>
      </c>
      <c r="J311" s="47">
        <v>250000000</v>
      </c>
      <c r="K311" s="16" t="s">
        <v>62</v>
      </c>
      <c r="L311" s="3" t="s">
        <v>60</v>
      </c>
      <c r="M311" s="3" t="s">
        <v>48</v>
      </c>
      <c r="N311" s="3" t="s">
        <v>58</v>
      </c>
    </row>
    <row r="312" spans="1:14" x14ac:dyDescent="0.3">
      <c r="A312" s="36" t="s">
        <v>37</v>
      </c>
      <c r="B312" s="13">
        <v>109</v>
      </c>
      <c r="C312" s="48" t="str">
        <f t="shared" si="10"/>
        <v>P.L. 109-58</v>
      </c>
      <c r="D312" s="3" t="s">
        <v>645</v>
      </c>
      <c r="E312" s="3" t="s">
        <v>663</v>
      </c>
      <c r="F312" s="3" t="s">
        <v>664</v>
      </c>
      <c r="G312" s="49"/>
      <c r="H312" s="46">
        <v>41182</v>
      </c>
      <c r="I312" s="13">
        <v>2012</v>
      </c>
      <c r="J312" s="47">
        <v>20000000</v>
      </c>
      <c r="K312" s="16" t="s">
        <v>62</v>
      </c>
      <c r="L312" s="3" t="s">
        <v>60</v>
      </c>
      <c r="M312" s="3" t="s">
        <v>48</v>
      </c>
      <c r="N312" s="3" t="s">
        <v>58</v>
      </c>
    </row>
    <row r="313" spans="1:14" x14ac:dyDescent="0.3">
      <c r="A313" s="36" t="s">
        <v>37</v>
      </c>
      <c r="B313" s="13">
        <v>109</v>
      </c>
      <c r="C313" s="48" t="str">
        <f t="shared" si="10"/>
        <v>P.L. 109-58</v>
      </c>
      <c r="D313" s="3" t="s">
        <v>645</v>
      </c>
      <c r="E313" s="3" t="s">
        <v>476</v>
      </c>
      <c r="F313" s="3" t="s">
        <v>665</v>
      </c>
      <c r="G313" s="49"/>
      <c r="H313" s="46">
        <v>42643</v>
      </c>
      <c r="I313" s="13">
        <v>2016</v>
      </c>
      <c r="J313" s="47">
        <v>50000000</v>
      </c>
      <c r="K313" s="16" t="s">
        <v>62</v>
      </c>
      <c r="L313" s="3" t="s">
        <v>60</v>
      </c>
      <c r="M313" s="3" t="s">
        <v>48</v>
      </c>
      <c r="N313" s="3" t="s">
        <v>58</v>
      </c>
    </row>
    <row r="314" spans="1:14" x14ac:dyDescent="0.3">
      <c r="A314" s="36" t="s">
        <v>37</v>
      </c>
      <c r="B314" s="13">
        <v>109</v>
      </c>
      <c r="C314" s="48" t="str">
        <f t="shared" si="10"/>
        <v>P.L. 109-58</v>
      </c>
      <c r="D314" s="3" t="s">
        <v>645</v>
      </c>
      <c r="E314" s="3" t="s">
        <v>666</v>
      </c>
      <c r="F314" s="3" t="s">
        <v>667</v>
      </c>
      <c r="G314" s="49"/>
      <c r="H314" s="46">
        <v>40451</v>
      </c>
      <c r="I314" s="13">
        <v>2010</v>
      </c>
      <c r="J314" s="47">
        <v>25000000</v>
      </c>
      <c r="K314" s="47">
        <v>5000000</v>
      </c>
      <c r="L314" s="3" t="s">
        <v>47</v>
      </c>
      <c r="M314" s="3" t="s">
        <v>48</v>
      </c>
      <c r="N314" s="3" t="s">
        <v>49</v>
      </c>
    </row>
    <row r="315" spans="1:14" x14ac:dyDescent="0.3">
      <c r="A315" s="36" t="s">
        <v>37</v>
      </c>
      <c r="B315" s="13">
        <v>109</v>
      </c>
      <c r="C315" s="48" t="str">
        <f t="shared" si="10"/>
        <v>P.L. 109-58</v>
      </c>
      <c r="D315" s="3" t="s">
        <v>645</v>
      </c>
      <c r="E315" s="3" t="s">
        <v>91</v>
      </c>
      <c r="F315" s="3" t="s">
        <v>668</v>
      </c>
      <c r="G315" s="49"/>
      <c r="H315" s="46">
        <v>41912</v>
      </c>
      <c r="I315" s="13">
        <v>2014</v>
      </c>
      <c r="J315" s="47">
        <v>200000000</v>
      </c>
      <c r="K315" s="16" t="s">
        <v>62</v>
      </c>
      <c r="L315" s="3" t="s">
        <v>60</v>
      </c>
      <c r="M315" s="3" t="s">
        <v>48</v>
      </c>
      <c r="N315" s="3" t="s">
        <v>58</v>
      </c>
    </row>
    <row r="316" spans="1:14" x14ac:dyDescent="0.3">
      <c r="A316" s="36" t="s">
        <v>37</v>
      </c>
      <c r="B316" s="13">
        <v>109</v>
      </c>
      <c r="C316" s="48" t="str">
        <f t="shared" si="10"/>
        <v>P.L. 109-58</v>
      </c>
      <c r="D316" s="3" t="s">
        <v>645</v>
      </c>
      <c r="E316" s="3" t="s">
        <v>669</v>
      </c>
      <c r="F316" s="3" t="s">
        <v>670</v>
      </c>
      <c r="G316" s="49"/>
      <c r="H316" s="46">
        <v>40451</v>
      </c>
      <c r="I316" s="13">
        <v>2010</v>
      </c>
      <c r="J316" s="47">
        <v>85000000</v>
      </c>
      <c r="K316" s="16" t="s">
        <v>62</v>
      </c>
      <c r="L316" s="3" t="s">
        <v>60</v>
      </c>
      <c r="M316" s="3" t="s">
        <v>48</v>
      </c>
      <c r="N316" s="3" t="s">
        <v>58</v>
      </c>
    </row>
    <row r="317" spans="1:14" x14ac:dyDescent="0.3">
      <c r="A317" s="36" t="s">
        <v>37</v>
      </c>
      <c r="B317" s="13">
        <v>109</v>
      </c>
      <c r="C317" s="48" t="str">
        <f t="shared" si="10"/>
        <v>P.L. 109-58</v>
      </c>
      <c r="D317" s="3" t="s">
        <v>645</v>
      </c>
      <c r="E317" s="3" t="s">
        <v>671</v>
      </c>
      <c r="F317" s="3" t="s">
        <v>672</v>
      </c>
      <c r="G317" s="49"/>
      <c r="H317" s="46">
        <v>41547</v>
      </c>
      <c r="I317" s="13">
        <v>2013</v>
      </c>
      <c r="J317" s="47">
        <v>300000000</v>
      </c>
      <c r="K317" s="16" t="s">
        <v>62</v>
      </c>
      <c r="L317" s="3" t="s">
        <v>60</v>
      </c>
      <c r="M317" s="3" t="s">
        <v>48</v>
      </c>
      <c r="N317" s="3" t="s">
        <v>58</v>
      </c>
    </row>
    <row r="318" spans="1:14" x14ac:dyDescent="0.3">
      <c r="A318" s="36" t="s">
        <v>37</v>
      </c>
      <c r="B318" s="13">
        <v>109</v>
      </c>
      <c r="C318" s="48" t="str">
        <f t="shared" si="10"/>
        <v>P.L. 109-58</v>
      </c>
      <c r="D318" s="3" t="s">
        <v>645</v>
      </c>
      <c r="E318" s="3" t="s">
        <v>671</v>
      </c>
      <c r="F318" s="3" t="s">
        <v>673</v>
      </c>
      <c r="G318" s="49"/>
      <c r="H318" s="46">
        <v>40816</v>
      </c>
      <c r="I318" s="13">
        <v>2011</v>
      </c>
      <c r="J318" s="47">
        <v>30000000</v>
      </c>
      <c r="K318" s="16" t="s">
        <v>62</v>
      </c>
      <c r="L318" s="3" t="s">
        <v>60</v>
      </c>
      <c r="M318" s="3" t="s">
        <v>48</v>
      </c>
      <c r="N318" s="3" t="s">
        <v>58</v>
      </c>
    </row>
    <row r="319" spans="1:14" x14ac:dyDescent="0.3">
      <c r="A319" s="36" t="s">
        <v>37</v>
      </c>
      <c r="B319" s="13">
        <v>109</v>
      </c>
      <c r="C319" s="48" t="str">
        <f t="shared" si="10"/>
        <v>P.L. 109-58</v>
      </c>
      <c r="D319" s="3" t="s">
        <v>645</v>
      </c>
      <c r="E319" s="3" t="s">
        <v>674</v>
      </c>
      <c r="F319" s="3" t="s">
        <v>675</v>
      </c>
      <c r="G319" s="49"/>
      <c r="H319" s="46">
        <v>40086</v>
      </c>
      <c r="I319" s="13">
        <v>2009</v>
      </c>
      <c r="J319" s="47">
        <v>20000000</v>
      </c>
      <c r="K319" s="16" t="s">
        <v>62</v>
      </c>
      <c r="L319" s="3" t="s">
        <v>60</v>
      </c>
      <c r="M319" s="3" t="s">
        <v>48</v>
      </c>
      <c r="N319" s="3" t="s">
        <v>58</v>
      </c>
    </row>
    <row r="320" spans="1:14" x14ac:dyDescent="0.3">
      <c r="A320" s="36" t="s">
        <v>37</v>
      </c>
      <c r="B320" s="13">
        <v>109</v>
      </c>
      <c r="C320" s="48" t="str">
        <f t="shared" si="10"/>
        <v>P.L. 109-58</v>
      </c>
      <c r="D320" s="3" t="s">
        <v>645</v>
      </c>
      <c r="E320" s="3" t="s">
        <v>676</v>
      </c>
      <c r="F320" s="3" t="s">
        <v>677</v>
      </c>
      <c r="G320" s="49"/>
      <c r="H320" s="46">
        <v>42277</v>
      </c>
      <c r="I320" s="13">
        <v>2015</v>
      </c>
      <c r="J320" s="16" t="s">
        <v>12</v>
      </c>
      <c r="K320" s="16" t="s">
        <v>62</v>
      </c>
      <c r="L320" s="3" t="s">
        <v>60</v>
      </c>
      <c r="M320" s="3" t="s">
        <v>48</v>
      </c>
      <c r="N320" s="3" t="s">
        <v>58</v>
      </c>
    </row>
    <row r="321" spans="1:14" x14ac:dyDescent="0.3">
      <c r="A321" s="36" t="s">
        <v>37</v>
      </c>
      <c r="B321" s="13">
        <v>109</v>
      </c>
      <c r="C321" s="48" t="str">
        <f t="shared" si="10"/>
        <v>P.L. 109-58</v>
      </c>
      <c r="D321" s="3" t="s">
        <v>645</v>
      </c>
      <c r="E321" s="3" t="s">
        <v>678</v>
      </c>
      <c r="F321" s="3" t="s">
        <v>679</v>
      </c>
      <c r="G321" s="49"/>
      <c r="H321" s="46">
        <v>40451</v>
      </c>
      <c r="I321" s="13">
        <v>2010</v>
      </c>
      <c r="J321" s="47">
        <v>10000000</v>
      </c>
      <c r="K321" s="16" t="s">
        <v>62</v>
      </c>
      <c r="L321" s="3" t="s">
        <v>60</v>
      </c>
      <c r="M321" s="3" t="s">
        <v>48</v>
      </c>
      <c r="N321" s="3" t="s">
        <v>58</v>
      </c>
    </row>
    <row r="322" spans="1:14" x14ac:dyDescent="0.3">
      <c r="A322" s="36" t="s">
        <v>37</v>
      </c>
      <c r="B322" s="13">
        <v>109</v>
      </c>
      <c r="C322" s="48" t="str">
        <f t="shared" si="10"/>
        <v>P.L. 109-58</v>
      </c>
      <c r="D322" s="3" t="s">
        <v>645</v>
      </c>
      <c r="E322" s="3" t="s">
        <v>680</v>
      </c>
      <c r="F322" s="3" t="s">
        <v>681</v>
      </c>
      <c r="G322" s="49"/>
      <c r="H322" s="46">
        <v>40451</v>
      </c>
      <c r="I322" s="13">
        <v>2010</v>
      </c>
      <c r="J322" s="16" t="s">
        <v>12</v>
      </c>
      <c r="K322" s="16" t="s">
        <v>62</v>
      </c>
      <c r="L322" s="3" t="s">
        <v>60</v>
      </c>
      <c r="M322" s="3" t="s">
        <v>48</v>
      </c>
      <c r="N322" s="3" t="s">
        <v>58</v>
      </c>
    </row>
    <row r="323" spans="1:14" x14ac:dyDescent="0.3">
      <c r="A323" s="36" t="s">
        <v>37</v>
      </c>
      <c r="B323" s="13">
        <v>109</v>
      </c>
      <c r="C323" s="48" t="str">
        <f t="shared" si="10"/>
        <v>P.L. 109-58</v>
      </c>
      <c r="D323" s="3" t="s">
        <v>645</v>
      </c>
      <c r="E323" s="3" t="s">
        <v>682</v>
      </c>
      <c r="F323" s="3" t="s">
        <v>683</v>
      </c>
      <c r="G323" s="49"/>
      <c r="H323" s="46">
        <v>40451</v>
      </c>
      <c r="I323" s="13">
        <v>2010</v>
      </c>
      <c r="J323" s="16" t="s">
        <v>12</v>
      </c>
      <c r="K323" s="16" t="s">
        <v>62</v>
      </c>
      <c r="L323" s="3" t="s">
        <v>60</v>
      </c>
      <c r="M323" s="3" t="s">
        <v>48</v>
      </c>
      <c r="N323" s="3" t="s">
        <v>58</v>
      </c>
    </row>
    <row r="324" spans="1:14" x14ac:dyDescent="0.3">
      <c r="A324" s="36" t="s">
        <v>37</v>
      </c>
      <c r="B324" s="13">
        <v>109</v>
      </c>
      <c r="C324" s="48" t="str">
        <f t="shared" si="10"/>
        <v>P.L. 109-58</v>
      </c>
      <c r="D324" s="3" t="s">
        <v>645</v>
      </c>
      <c r="E324" s="3" t="s">
        <v>684</v>
      </c>
      <c r="F324" s="3" t="s">
        <v>685</v>
      </c>
      <c r="G324" s="49"/>
      <c r="H324" s="46">
        <v>40086</v>
      </c>
      <c r="I324" s="13">
        <v>2009</v>
      </c>
      <c r="J324" s="47">
        <v>25000000</v>
      </c>
      <c r="K324" s="16" t="s">
        <v>62</v>
      </c>
      <c r="L324" s="3" t="s">
        <v>60</v>
      </c>
      <c r="M324" s="3" t="s">
        <v>48</v>
      </c>
      <c r="N324" s="3" t="s">
        <v>58</v>
      </c>
    </row>
    <row r="325" spans="1:14" x14ac:dyDescent="0.3">
      <c r="A325" s="36" t="s">
        <v>37</v>
      </c>
      <c r="B325" s="13">
        <v>109</v>
      </c>
      <c r="C325" s="48" t="str">
        <f t="shared" si="10"/>
        <v>P.L. 109-58</v>
      </c>
      <c r="D325" s="3" t="s">
        <v>645</v>
      </c>
      <c r="E325" s="3" t="s">
        <v>686</v>
      </c>
      <c r="F325" s="3" t="s">
        <v>687</v>
      </c>
      <c r="G325" s="49"/>
      <c r="H325" s="46">
        <v>39721</v>
      </c>
      <c r="I325" s="13">
        <v>2008</v>
      </c>
      <c r="J325" s="47">
        <v>30000000</v>
      </c>
      <c r="K325" s="16" t="s">
        <v>62</v>
      </c>
      <c r="L325" s="3" t="s">
        <v>60</v>
      </c>
      <c r="M325" s="3" t="s">
        <v>48</v>
      </c>
      <c r="N325" s="3" t="s">
        <v>158</v>
      </c>
    </row>
    <row r="326" spans="1:14" x14ac:dyDescent="0.3">
      <c r="A326" s="36" t="s">
        <v>37</v>
      </c>
      <c r="B326" s="13">
        <v>109</v>
      </c>
      <c r="C326" s="48" t="str">
        <f t="shared" si="10"/>
        <v>P.L. 109-58</v>
      </c>
      <c r="D326" s="3" t="s">
        <v>645</v>
      </c>
      <c r="E326" s="3" t="s">
        <v>688</v>
      </c>
      <c r="F326" s="3" t="s">
        <v>689</v>
      </c>
      <c r="G326" s="49"/>
      <c r="H326" s="46">
        <v>39721</v>
      </c>
      <c r="I326" s="13">
        <v>2008</v>
      </c>
      <c r="J326" s="47">
        <v>65000000</v>
      </c>
      <c r="K326" s="16" t="s">
        <v>62</v>
      </c>
      <c r="L326" s="3" t="s">
        <v>60</v>
      </c>
      <c r="M326" s="3" t="s">
        <v>48</v>
      </c>
      <c r="N326" s="3" t="s">
        <v>49</v>
      </c>
    </row>
    <row r="327" spans="1:14" x14ac:dyDescent="0.3">
      <c r="A327" s="36" t="s">
        <v>37</v>
      </c>
      <c r="B327" s="13">
        <v>109</v>
      </c>
      <c r="C327" s="48" t="str">
        <f t="shared" si="10"/>
        <v>P.L. 109-58</v>
      </c>
      <c r="D327" s="3" t="s">
        <v>645</v>
      </c>
      <c r="E327" s="3" t="s">
        <v>690</v>
      </c>
      <c r="F327" s="3" t="s">
        <v>691</v>
      </c>
      <c r="G327" s="49"/>
      <c r="H327" s="46">
        <v>40451</v>
      </c>
      <c r="I327" s="13">
        <v>2010</v>
      </c>
      <c r="J327" s="47">
        <v>5000000</v>
      </c>
      <c r="K327" s="16" t="s">
        <v>62</v>
      </c>
      <c r="L327" s="3" t="s">
        <v>60</v>
      </c>
      <c r="M327" s="3" t="s">
        <v>48</v>
      </c>
      <c r="N327" s="3" t="s">
        <v>58</v>
      </c>
    </row>
    <row r="328" spans="1:14" x14ac:dyDescent="0.3">
      <c r="A328" s="36" t="s">
        <v>37</v>
      </c>
      <c r="B328" s="13">
        <v>109</v>
      </c>
      <c r="C328" s="48" t="str">
        <f t="shared" si="10"/>
        <v>P.L. 109-58</v>
      </c>
      <c r="D328" s="3" t="s">
        <v>645</v>
      </c>
      <c r="F328" s="3" t="s">
        <v>692</v>
      </c>
      <c r="G328" s="49"/>
      <c r="H328" s="46">
        <v>40451</v>
      </c>
      <c r="I328" s="13">
        <v>2010</v>
      </c>
      <c r="J328" s="47">
        <v>50000000</v>
      </c>
      <c r="K328" s="16" t="s">
        <v>62</v>
      </c>
      <c r="L328" s="3" t="s">
        <v>60</v>
      </c>
      <c r="M328" s="3" t="s">
        <v>48</v>
      </c>
      <c r="N328" s="3" t="s">
        <v>58</v>
      </c>
    </row>
    <row r="329" spans="1:14" x14ac:dyDescent="0.3">
      <c r="A329" s="36" t="s">
        <v>37</v>
      </c>
      <c r="B329" s="13">
        <v>109</v>
      </c>
      <c r="C329" s="48" t="str">
        <f t="shared" si="10"/>
        <v>P.L. 109-58</v>
      </c>
      <c r="D329" s="3" t="s">
        <v>645</v>
      </c>
      <c r="E329" s="3" t="s">
        <v>693</v>
      </c>
      <c r="F329" s="3" t="s">
        <v>694</v>
      </c>
      <c r="G329" s="49"/>
      <c r="H329" s="46">
        <v>40451</v>
      </c>
      <c r="I329" s="13">
        <v>2010</v>
      </c>
      <c r="J329" s="47">
        <v>3500000</v>
      </c>
      <c r="K329" s="16" t="s">
        <v>62</v>
      </c>
      <c r="L329" s="3" t="s">
        <v>60</v>
      </c>
      <c r="M329" s="3" t="s">
        <v>48</v>
      </c>
      <c r="N329" s="3" t="s">
        <v>158</v>
      </c>
    </row>
    <row r="330" spans="1:14" x14ac:dyDescent="0.3">
      <c r="A330" s="36" t="s">
        <v>37</v>
      </c>
      <c r="B330" s="13">
        <v>109</v>
      </c>
      <c r="C330" s="48" t="str">
        <f t="shared" si="10"/>
        <v>P.L. 109-58</v>
      </c>
      <c r="D330" s="3" t="s">
        <v>645</v>
      </c>
      <c r="E330" s="3" t="s">
        <v>695</v>
      </c>
      <c r="F330" s="3" t="s">
        <v>696</v>
      </c>
      <c r="G330" s="49"/>
      <c r="H330" s="46">
        <v>42277</v>
      </c>
      <c r="I330" s="13">
        <v>2015</v>
      </c>
      <c r="J330" s="16" t="s">
        <v>12</v>
      </c>
      <c r="K330" s="16" t="s">
        <v>62</v>
      </c>
      <c r="L330" s="3" t="s">
        <v>60</v>
      </c>
      <c r="M330" s="3" t="s">
        <v>48</v>
      </c>
      <c r="N330" s="3" t="s">
        <v>58</v>
      </c>
    </row>
    <row r="331" spans="1:14" x14ac:dyDescent="0.3">
      <c r="A331" s="36" t="s">
        <v>37</v>
      </c>
      <c r="B331" s="13">
        <v>109</v>
      </c>
      <c r="C331" s="48" t="str">
        <f t="shared" si="10"/>
        <v>P.L. 109-58</v>
      </c>
      <c r="D331" s="3" t="s">
        <v>645</v>
      </c>
      <c r="E331" s="3" t="s">
        <v>697</v>
      </c>
      <c r="F331" s="3" t="s">
        <v>698</v>
      </c>
      <c r="G331" s="49"/>
      <c r="H331" s="46">
        <v>42277</v>
      </c>
      <c r="I331" s="13">
        <v>2015</v>
      </c>
      <c r="J331" s="16" t="s">
        <v>12</v>
      </c>
      <c r="K331" s="16" t="s">
        <v>62</v>
      </c>
      <c r="L331" s="3" t="s">
        <v>60</v>
      </c>
      <c r="M331" s="3" t="s">
        <v>48</v>
      </c>
      <c r="N331" s="3" t="s">
        <v>58</v>
      </c>
    </row>
    <row r="332" spans="1:14" x14ac:dyDescent="0.3">
      <c r="A332" s="36" t="s">
        <v>37</v>
      </c>
      <c r="B332" s="13">
        <v>109</v>
      </c>
      <c r="C332" s="48" t="str">
        <f t="shared" si="10"/>
        <v>P.L. 109-58</v>
      </c>
      <c r="D332" s="3" t="s">
        <v>645</v>
      </c>
      <c r="E332" s="3" t="s">
        <v>699</v>
      </c>
      <c r="F332" s="3" t="s">
        <v>700</v>
      </c>
      <c r="G332" s="49"/>
      <c r="H332" s="46">
        <v>44104</v>
      </c>
      <c r="I332" s="13">
        <v>2020</v>
      </c>
      <c r="J332" s="16" t="s">
        <v>12</v>
      </c>
      <c r="K332" s="47">
        <v>170000000</v>
      </c>
      <c r="L332" s="3" t="s">
        <v>60</v>
      </c>
      <c r="M332" s="3" t="s">
        <v>48</v>
      </c>
      <c r="N332" s="3" t="s">
        <v>58</v>
      </c>
    </row>
    <row r="333" spans="1:14" x14ac:dyDescent="0.3">
      <c r="A333" s="36" t="s">
        <v>37</v>
      </c>
      <c r="B333" s="13">
        <v>109</v>
      </c>
      <c r="C333" s="48" t="str">
        <f t="shared" si="10"/>
        <v>P.L. 109-58</v>
      </c>
      <c r="D333" s="3" t="s">
        <v>645</v>
      </c>
      <c r="E333" s="3" t="s">
        <v>701</v>
      </c>
      <c r="F333" s="3" t="s">
        <v>702</v>
      </c>
      <c r="G333" s="49"/>
      <c r="H333" s="46">
        <v>44104</v>
      </c>
      <c r="I333" s="13">
        <v>2020</v>
      </c>
      <c r="J333" s="16" t="s">
        <v>12</v>
      </c>
      <c r="K333" s="16" t="s">
        <v>62</v>
      </c>
      <c r="L333" s="3" t="s">
        <v>60</v>
      </c>
      <c r="M333" s="3" t="s">
        <v>48</v>
      </c>
      <c r="N333" s="3" t="s">
        <v>58</v>
      </c>
    </row>
    <row r="334" spans="1:14" x14ac:dyDescent="0.3">
      <c r="A334" s="36" t="s">
        <v>37</v>
      </c>
      <c r="B334" s="13">
        <v>109</v>
      </c>
      <c r="C334" s="48" t="str">
        <f t="shared" si="10"/>
        <v>P.L. 109-58</v>
      </c>
      <c r="D334" s="3" t="s">
        <v>645</v>
      </c>
      <c r="E334" s="3" t="s">
        <v>703</v>
      </c>
      <c r="F334" s="3" t="s">
        <v>704</v>
      </c>
      <c r="G334" s="49"/>
      <c r="H334" s="46">
        <v>40086</v>
      </c>
      <c r="I334" s="13">
        <v>2009</v>
      </c>
      <c r="J334" s="47">
        <v>952000000</v>
      </c>
      <c r="K334" s="16" t="s">
        <v>62</v>
      </c>
      <c r="L334" s="3" t="s">
        <v>135</v>
      </c>
      <c r="M334" s="3" t="s">
        <v>48</v>
      </c>
      <c r="N334" s="3" t="s">
        <v>58</v>
      </c>
    </row>
    <row r="335" spans="1:14" x14ac:dyDescent="0.3">
      <c r="A335" s="36" t="s">
        <v>37</v>
      </c>
      <c r="B335" s="13">
        <v>109</v>
      </c>
      <c r="C335" s="48" t="str">
        <f t="shared" ref="C335:C356" si="11">HYPERLINK("https://uscode.house.gov/statutes/pl/109/58.pdf", "P.L. 109-58")</f>
        <v>P.L. 109-58</v>
      </c>
      <c r="D335" s="3" t="s">
        <v>645</v>
      </c>
      <c r="E335" s="3" t="s">
        <v>705</v>
      </c>
      <c r="F335" s="3" t="s">
        <v>706</v>
      </c>
      <c r="G335" s="49"/>
      <c r="H335" s="46">
        <v>41547</v>
      </c>
      <c r="I335" s="13">
        <v>2013</v>
      </c>
      <c r="J335" s="47">
        <v>50000000</v>
      </c>
      <c r="K335" s="16" t="s">
        <v>62</v>
      </c>
      <c r="L335" s="3" t="s">
        <v>60</v>
      </c>
      <c r="M335" s="3" t="s">
        <v>48</v>
      </c>
      <c r="N335" s="3" t="s">
        <v>58</v>
      </c>
    </row>
    <row r="336" spans="1:14" x14ac:dyDescent="0.3">
      <c r="A336" s="36" t="s">
        <v>37</v>
      </c>
      <c r="B336" s="13">
        <v>109</v>
      </c>
      <c r="C336" s="48" t="str">
        <f t="shared" si="11"/>
        <v>P.L. 109-58</v>
      </c>
      <c r="D336" s="3" t="s">
        <v>645</v>
      </c>
      <c r="E336" s="3" t="s">
        <v>707</v>
      </c>
      <c r="F336" s="3" t="s">
        <v>708</v>
      </c>
      <c r="G336" s="49"/>
      <c r="H336" s="46">
        <v>40086</v>
      </c>
      <c r="I336" s="13">
        <v>2009</v>
      </c>
      <c r="J336" s="47">
        <v>273000000</v>
      </c>
      <c r="K336" s="16" t="s">
        <v>62</v>
      </c>
      <c r="L336" s="3" t="s">
        <v>135</v>
      </c>
      <c r="M336" s="3" t="s">
        <v>48</v>
      </c>
      <c r="N336" s="3" t="s">
        <v>58</v>
      </c>
    </row>
    <row r="337" spans="1:14" x14ac:dyDescent="0.3">
      <c r="A337" s="36" t="s">
        <v>37</v>
      </c>
      <c r="B337" s="13">
        <v>109</v>
      </c>
      <c r="C337" s="48" t="str">
        <f t="shared" si="11"/>
        <v>P.L. 109-58</v>
      </c>
      <c r="D337" s="3" t="s">
        <v>645</v>
      </c>
      <c r="E337" s="3" t="s">
        <v>709</v>
      </c>
      <c r="F337" s="3" t="s">
        <v>710</v>
      </c>
      <c r="G337" s="49"/>
      <c r="H337" s="46">
        <v>42277</v>
      </c>
      <c r="I337" s="13">
        <v>2015</v>
      </c>
      <c r="J337" s="16" t="s">
        <v>12</v>
      </c>
      <c r="K337" s="16" t="s">
        <v>62</v>
      </c>
      <c r="L337" s="3" t="s">
        <v>60</v>
      </c>
      <c r="M337" s="3" t="s">
        <v>48</v>
      </c>
      <c r="N337" s="3" t="s">
        <v>58</v>
      </c>
    </row>
    <row r="338" spans="1:14" x14ac:dyDescent="0.3">
      <c r="A338" s="36" t="s">
        <v>37</v>
      </c>
      <c r="B338" s="13">
        <v>109</v>
      </c>
      <c r="C338" s="48" t="str">
        <f t="shared" si="11"/>
        <v>P.L. 109-58</v>
      </c>
      <c r="D338" s="3" t="s">
        <v>645</v>
      </c>
      <c r="E338" s="3" t="s">
        <v>711</v>
      </c>
      <c r="F338" s="3" t="s">
        <v>712</v>
      </c>
      <c r="G338" s="49"/>
      <c r="H338" s="46">
        <v>40451</v>
      </c>
      <c r="I338" s="13">
        <v>2010</v>
      </c>
      <c r="J338" s="47">
        <v>1000000</v>
      </c>
      <c r="K338" s="16" t="s">
        <v>62</v>
      </c>
      <c r="L338" s="3" t="s">
        <v>60</v>
      </c>
      <c r="M338" s="3" t="s">
        <v>586</v>
      </c>
      <c r="N338" s="3" t="s">
        <v>406</v>
      </c>
    </row>
    <row r="339" spans="1:14" x14ac:dyDescent="0.3">
      <c r="A339" s="36" t="s">
        <v>37</v>
      </c>
      <c r="B339" s="13">
        <v>109</v>
      </c>
      <c r="C339" s="48" t="str">
        <f t="shared" si="11"/>
        <v>P.L. 109-58</v>
      </c>
      <c r="D339" s="3" t="s">
        <v>645</v>
      </c>
      <c r="E339" s="3" t="s">
        <v>713</v>
      </c>
      <c r="F339" s="3" t="s">
        <v>714</v>
      </c>
      <c r="G339" s="49"/>
      <c r="H339" s="46">
        <v>40451</v>
      </c>
      <c r="I339" s="13">
        <v>2010</v>
      </c>
      <c r="J339" s="47">
        <v>5000000</v>
      </c>
      <c r="K339" s="16" t="s">
        <v>62</v>
      </c>
      <c r="L339" s="3" t="s">
        <v>60</v>
      </c>
      <c r="M339" s="3" t="s">
        <v>586</v>
      </c>
      <c r="N339" s="3" t="s">
        <v>406</v>
      </c>
    </row>
    <row r="340" spans="1:14" x14ac:dyDescent="0.3">
      <c r="A340" s="36" t="s">
        <v>37</v>
      </c>
      <c r="B340" s="13">
        <v>109</v>
      </c>
      <c r="C340" s="48" t="str">
        <f t="shared" si="11"/>
        <v>P.L. 109-58</v>
      </c>
      <c r="D340" s="3" t="s">
        <v>645</v>
      </c>
      <c r="F340" s="3" t="s">
        <v>715</v>
      </c>
      <c r="G340" s="49"/>
      <c r="H340" s="46">
        <v>40086</v>
      </c>
      <c r="I340" s="13">
        <v>2009</v>
      </c>
      <c r="J340" s="47">
        <v>495000000</v>
      </c>
      <c r="K340" s="47">
        <v>2973000000</v>
      </c>
      <c r="L340" s="3" t="s">
        <v>135</v>
      </c>
      <c r="M340" s="3" t="s">
        <v>48</v>
      </c>
      <c r="N340" s="3" t="s">
        <v>58</v>
      </c>
    </row>
    <row r="341" spans="1:14" x14ac:dyDescent="0.3">
      <c r="A341" s="36" t="s">
        <v>37</v>
      </c>
      <c r="B341" s="13">
        <v>109</v>
      </c>
      <c r="C341" s="48" t="str">
        <f t="shared" si="11"/>
        <v>P.L. 109-58</v>
      </c>
      <c r="D341" s="3" t="s">
        <v>645</v>
      </c>
      <c r="F341" s="3" t="s">
        <v>716</v>
      </c>
      <c r="G341" s="49"/>
      <c r="H341" s="46">
        <v>40086</v>
      </c>
      <c r="I341" s="13">
        <v>2009</v>
      </c>
      <c r="J341" s="47">
        <v>641000000</v>
      </c>
      <c r="K341" s="47">
        <v>955250000</v>
      </c>
      <c r="L341" s="3" t="s">
        <v>135</v>
      </c>
      <c r="M341" s="3" t="s">
        <v>48</v>
      </c>
      <c r="N341" s="3" t="s">
        <v>58</v>
      </c>
    </row>
    <row r="342" spans="1:14" x14ac:dyDescent="0.3">
      <c r="A342" s="36" t="s">
        <v>37</v>
      </c>
      <c r="B342" s="13">
        <v>109</v>
      </c>
      <c r="C342" s="48" t="str">
        <f t="shared" si="11"/>
        <v>P.L. 109-58</v>
      </c>
      <c r="D342" s="3" t="s">
        <v>645</v>
      </c>
      <c r="E342" s="3" t="s">
        <v>717</v>
      </c>
      <c r="F342" s="3" t="s">
        <v>718</v>
      </c>
      <c r="G342" s="49"/>
      <c r="H342" s="46">
        <v>40451</v>
      </c>
      <c r="I342" s="13">
        <v>2010</v>
      </c>
      <c r="J342" s="47">
        <v>50000000</v>
      </c>
      <c r="K342" s="16" t="s">
        <v>62</v>
      </c>
      <c r="L342" s="3" t="s">
        <v>135</v>
      </c>
      <c r="M342" s="3" t="s">
        <v>48</v>
      </c>
      <c r="N342" s="3" t="s">
        <v>58</v>
      </c>
    </row>
    <row r="343" spans="1:14" x14ac:dyDescent="0.3">
      <c r="A343" s="36" t="s">
        <v>37</v>
      </c>
      <c r="B343" s="13">
        <v>109</v>
      </c>
      <c r="C343" s="48" t="str">
        <f t="shared" si="11"/>
        <v>P.L. 109-58</v>
      </c>
      <c r="D343" s="3" t="s">
        <v>645</v>
      </c>
      <c r="E343" s="3" t="s">
        <v>719</v>
      </c>
      <c r="F343" s="3" t="s">
        <v>720</v>
      </c>
      <c r="G343" s="49"/>
      <c r="H343" s="46">
        <v>40086</v>
      </c>
      <c r="I343" s="13">
        <v>2009</v>
      </c>
      <c r="J343" s="47">
        <v>16000000</v>
      </c>
      <c r="K343" s="16" t="s">
        <v>62</v>
      </c>
      <c r="L343" s="3" t="s">
        <v>135</v>
      </c>
      <c r="M343" s="3" t="s">
        <v>48</v>
      </c>
      <c r="N343" s="3" t="s">
        <v>58</v>
      </c>
    </row>
    <row r="344" spans="1:14" x14ac:dyDescent="0.3">
      <c r="A344" s="36" t="s">
        <v>37</v>
      </c>
      <c r="B344" s="13">
        <v>109</v>
      </c>
      <c r="C344" s="48" t="str">
        <f t="shared" si="11"/>
        <v>P.L. 109-58</v>
      </c>
      <c r="D344" s="3" t="s">
        <v>645</v>
      </c>
      <c r="E344" s="3" t="s">
        <v>721</v>
      </c>
      <c r="F344" s="3" t="s">
        <v>722</v>
      </c>
      <c r="G344" s="49"/>
      <c r="H344" s="46">
        <v>40451</v>
      </c>
      <c r="I344" s="13">
        <v>2010</v>
      </c>
      <c r="J344" s="47">
        <v>1500000</v>
      </c>
      <c r="K344" s="16" t="s">
        <v>62</v>
      </c>
      <c r="L344" s="3" t="s">
        <v>135</v>
      </c>
      <c r="M344" s="3" t="s">
        <v>48</v>
      </c>
      <c r="N344" s="3" t="s">
        <v>58</v>
      </c>
    </row>
    <row r="345" spans="1:14" x14ac:dyDescent="0.3">
      <c r="A345" s="36" t="s">
        <v>37</v>
      </c>
      <c r="B345" s="13">
        <v>109</v>
      </c>
      <c r="C345" s="48" t="str">
        <f t="shared" si="11"/>
        <v>P.L. 109-58</v>
      </c>
      <c r="D345" s="3" t="s">
        <v>645</v>
      </c>
      <c r="E345" s="3" t="s">
        <v>723</v>
      </c>
      <c r="F345" s="3" t="s">
        <v>724</v>
      </c>
      <c r="G345" s="49"/>
      <c r="H345" s="46">
        <v>40816</v>
      </c>
      <c r="I345" s="13">
        <v>2011</v>
      </c>
      <c r="J345" s="47">
        <v>3000000</v>
      </c>
      <c r="K345" s="16" t="s">
        <v>62</v>
      </c>
      <c r="L345" s="3" t="s">
        <v>109</v>
      </c>
      <c r="M345" s="3" t="s">
        <v>148</v>
      </c>
      <c r="N345" s="3" t="s">
        <v>158</v>
      </c>
    </row>
    <row r="346" spans="1:14" x14ac:dyDescent="0.3">
      <c r="A346" s="36" t="s">
        <v>37</v>
      </c>
      <c r="B346" s="13">
        <v>109</v>
      </c>
      <c r="C346" s="48" t="str">
        <f t="shared" si="11"/>
        <v>P.L. 109-58</v>
      </c>
      <c r="D346" s="3" t="s">
        <v>645</v>
      </c>
      <c r="E346" s="3" t="s">
        <v>725</v>
      </c>
      <c r="F346" s="3" t="s">
        <v>726</v>
      </c>
      <c r="G346" s="49"/>
      <c r="H346" s="46">
        <v>42643</v>
      </c>
      <c r="I346" s="13">
        <v>2016</v>
      </c>
      <c r="J346" s="47">
        <v>100000000</v>
      </c>
      <c r="K346" s="16" t="s">
        <v>62</v>
      </c>
      <c r="L346" s="3" t="s">
        <v>60</v>
      </c>
      <c r="M346" s="3" t="s">
        <v>48</v>
      </c>
      <c r="N346" s="3" t="s">
        <v>58</v>
      </c>
    </row>
    <row r="347" spans="1:14" x14ac:dyDescent="0.3">
      <c r="A347" s="36" t="s">
        <v>37</v>
      </c>
      <c r="B347" s="13">
        <v>109</v>
      </c>
      <c r="C347" s="48" t="str">
        <f t="shared" si="11"/>
        <v>P.L. 109-58</v>
      </c>
      <c r="D347" s="3" t="s">
        <v>645</v>
      </c>
      <c r="E347" s="3" t="s">
        <v>727</v>
      </c>
      <c r="F347" s="3" t="s">
        <v>728</v>
      </c>
      <c r="G347" s="49"/>
      <c r="H347" s="46">
        <v>39721</v>
      </c>
      <c r="I347" s="13">
        <v>2008</v>
      </c>
      <c r="J347" s="47">
        <v>15000000</v>
      </c>
      <c r="K347" s="16" t="s">
        <v>62</v>
      </c>
      <c r="L347" s="3" t="s">
        <v>60</v>
      </c>
      <c r="M347" s="3" t="s">
        <v>48</v>
      </c>
      <c r="N347" s="3" t="s">
        <v>58</v>
      </c>
    </row>
    <row r="348" spans="1:14" x14ac:dyDescent="0.3">
      <c r="A348" s="36" t="s">
        <v>37</v>
      </c>
      <c r="B348" s="13">
        <v>109</v>
      </c>
      <c r="C348" s="48" t="str">
        <f t="shared" si="11"/>
        <v>P.L. 109-58</v>
      </c>
      <c r="D348" s="3" t="s">
        <v>645</v>
      </c>
      <c r="E348" s="3" t="s">
        <v>340</v>
      </c>
      <c r="F348" s="3" t="s">
        <v>729</v>
      </c>
      <c r="G348" s="49"/>
      <c r="H348" s="46">
        <v>39721</v>
      </c>
      <c r="I348" s="13">
        <v>2008</v>
      </c>
      <c r="J348" s="47">
        <v>20000000</v>
      </c>
      <c r="K348" s="16" t="s">
        <v>62</v>
      </c>
      <c r="L348" s="3" t="s">
        <v>60</v>
      </c>
      <c r="M348" s="3" t="s">
        <v>48</v>
      </c>
      <c r="N348" s="3" t="s">
        <v>58</v>
      </c>
    </row>
    <row r="349" spans="1:14" x14ac:dyDescent="0.3">
      <c r="A349" s="36" t="s">
        <v>37</v>
      </c>
      <c r="B349" s="13">
        <v>109</v>
      </c>
      <c r="C349" s="48" t="str">
        <f t="shared" si="11"/>
        <v>P.L. 109-58</v>
      </c>
      <c r="D349" s="3" t="s">
        <v>645</v>
      </c>
      <c r="E349" s="3" t="s">
        <v>730</v>
      </c>
      <c r="F349" s="3" t="s">
        <v>731</v>
      </c>
      <c r="G349" s="49"/>
      <c r="H349" s="46">
        <v>41182</v>
      </c>
      <c r="I349" s="13">
        <v>2012</v>
      </c>
      <c r="J349" s="47">
        <v>10000000</v>
      </c>
      <c r="K349" s="16" t="s">
        <v>62</v>
      </c>
      <c r="L349" s="3" t="s">
        <v>60</v>
      </c>
      <c r="M349" s="3" t="s">
        <v>48</v>
      </c>
      <c r="N349" s="3" t="s">
        <v>58</v>
      </c>
    </row>
    <row r="350" spans="1:14" x14ac:dyDescent="0.3">
      <c r="A350" s="36" t="s">
        <v>37</v>
      </c>
      <c r="B350" s="13">
        <v>109</v>
      </c>
      <c r="C350" s="48" t="str">
        <f t="shared" si="11"/>
        <v>P.L. 109-58</v>
      </c>
      <c r="D350" s="3" t="s">
        <v>645</v>
      </c>
      <c r="E350" s="3" t="s">
        <v>732</v>
      </c>
      <c r="F350" s="3" t="s">
        <v>733</v>
      </c>
      <c r="G350" s="49"/>
      <c r="H350" s="46">
        <v>40451</v>
      </c>
      <c r="I350" s="13">
        <v>2010</v>
      </c>
      <c r="J350" s="16" t="s">
        <v>12</v>
      </c>
      <c r="K350" s="16" t="s">
        <v>62</v>
      </c>
      <c r="L350" s="3" t="s">
        <v>60</v>
      </c>
      <c r="M350" s="3" t="s">
        <v>48</v>
      </c>
      <c r="N350" s="3" t="s">
        <v>58</v>
      </c>
    </row>
    <row r="351" spans="1:14" x14ac:dyDescent="0.3">
      <c r="A351" s="36" t="s">
        <v>37</v>
      </c>
      <c r="B351" s="13">
        <v>109</v>
      </c>
      <c r="C351" s="48" t="str">
        <f t="shared" si="11"/>
        <v>P.L. 109-58</v>
      </c>
      <c r="D351" s="3" t="s">
        <v>645</v>
      </c>
      <c r="E351" s="3" t="s">
        <v>734</v>
      </c>
      <c r="F351" s="3" t="s">
        <v>735</v>
      </c>
      <c r="G351" s="49"/>
      <c r="H351" s="46">
        <v>39721</v>
      </c>
      <c r="I351" s="13">
        <v>2008</v>
      </c>
      <c r="J351" s="47">
        <v>100000000</v>
      </c>
      <c r="K351" s="16" t="s">
        <v>62</v>
      </c>
      <c r="L351" s="3" t="s">
        <v>60</v>
      </c>
      <c r="M351" s="3" t="s">
        <v>48</v>
      </c>
      <c r="N351" s="3" t="s">
        <v>58</v>
      </c>
    </row>
    <row r="352" spans="1:14" x14ac:dyDescent="0.3">
      <c r="A352" s="36" t="s">
        <v>37</v>
      </c>
      <c r="B352" s="13">
        <v>109</v>
      </c>
      <c r="C352" s="48" t="str">
        <f t="shared" si="11"/>
        <v>P.L. 109-58</v>
      </c>
      <c r="D352" s="3" t="s">
        <v>645</v>
      </c>
      <c r="E352" s="3" t="s">
        <v>736</v>
      </c>
      <c r="F352" s="3" t="s">
        <v>737</v>
      </c>
      <c r="G352" s="49"/>
      <c r="H352" s="46">
        <v>39355</v>
      </c>
      <c r="I352" s="13">
        <v>2007</v>
      </c>
      <c r="J352" s="47">
        <v>4000000</v>
      </c>
      <c r="K352" s="16" t="s">
        <v>62</v>
      </c>
      <c r="L352" s="3" t="s">
        <v>60</v>
      </c>
      <c r="M352" s="3" t="s">
        <v>48</v>
      </c>
      <c r="N352" s="3" t="s">
        <v>58</v>
      </c>
    </row>
    <row r="353" spans="1:14" x14ac:dyDescent="0.3">
      <c r="A353" s="36" t="s">
        <v>37</v>
      </c>
      <c r="B353" s="13">
        <v>109</v>
      </c>
      <c r="C353" s="48" t="str">
        <f t="shared" si="11"/>
        <v>P.L. 109-58</v>
      </c>
      <c r="D353" s="3" t="s">
        <v>645</v>
      </c>
      <c r="E353" s="3" t="s">
        <v>736</v>
      </c>
      <c r="F353" s="3" t="s">
        <v>738</v>
      </c>
      <c r="G353" s="49"/>
      <c r="H353" s="46">
        <v>40451</v>
      </c>
      <c r="I353" s="13">
        <v>2010</v>
      </c>
      <c r="J353" s="47">
        <v>25000000</v>
      </c>
      <c r="K353" s="16" t="s">
        <v>62</v>
      </c>
      <c r="L353" s="3" t="s">
        <v>135</v>
      </c>
      <c r="M353" s="3" t="s">
        <v>48</v>
      </c>
      <c r="N353" s="3" t="s">
        <v>58</v>
      </c>
    </row>
    <row r="354" spans="1:14" x14ac:dyDescent="0.3">
      <c r="A354" s="36" t="s">
        <v>37</v>
      </c>
      <c r="B354" s="13">
        <v>109</v>
      </c>
      <c r="C354" s="48" t="str">
        <f t="shared" si="11"/>
        <v>P.L. 109-58</v>
      </c>
      <c r="D354" s="3" t="s">
        <v>645</v>
      </c>
      <c r="E354" s="3" t="s">
        <v>736</v>
      </c>
      <c r="F354" s="3" t="s">
        <v>739</v>
      </c>
      <c r="G354" s="49"/>
      <c r="H354" s="46">
        <v>39355</v>
      </c>
      <c r="I354" s="13">
        <v>2007</v>
      </c>
      <c r="J354" s="47">
        <v>400000000</v>
      </c>
      <c r="K354" s="16" t="s">
        <v>62</v>
      </c>
      <c r="L354" s="3" t="s">
        <v>60</v>
      </c>
      <c r="M354" s="3" t="s">
        <v>48</v>
      </c>
      <c r="N354" s="3" t="s">
        <v>58</v>
      </c>
    </row>
    <row r="355" spans="1:14" x14ac:dyDescent="0.3">
      <c r="A355" s="36" t="s">
        <v>37</v>
      </c>
      <c r="B355" s="13">
        <v>109</v>
      </c>
      <c r="C355" s="48" t="str">
        <f t="shared" si="11"/>
        <v>P.L. 109-58</v>
      </c>
      <c r="D355" s="3" t="s">
        <v>645</v>
      </c>
      <c r="E355" s="3" t="s">
        <v>740</v>
      </c>
      <c r="F355" s="3" t="s">
        <v>741</v>
      </c>
      <c r="G355" s="49"/>
      <c r="H355" s="46">
        <v>39721</v>
      </c>
      <c r="I355" s="13">
        <v>2008</v>
      </c>
      <c r="J355" s="47">
        <v>400000000</v>
      </c>
      <c r="K355" s="16" t="s">
        <v>62</v>
      </c>
      <c r="L355" s="3" t="s">
        <v>60</v>
      </c>
      <c r="M355" s="3" t="s">
        <v>48</v>
      </c>
      <c r="N355" s="3" t="s">
        <v>58</v>
      </c>
    </row>
    <row r="356" spans="1:14" x14ac:dyDescent="0.3">
      <c r="A356" s="36" t="s">
        <v>37</v>
      </c>
      <c r="B356" s="13">
        <v>109</v>
      </c>
      <c r="C356" s="48" t="str">
        <f t="shared" si="11"/>
        <v>P.L. 109-58</v>
      </c>
      <c r="D356" s="3" t="s">
        <v>645</v>
      </c>
      <c r="E356" s="3" t="s">
        <v>742</v>
      </c>
      <c r="F356" s="3" t="s">
        <v>743</v>
      </c>
      <c r="G356" s="49"/>
      <c r="H356" s="46">
        <v>40451</v>
      </c>
      <c r="I356" s="13">
        <v>2010</v>
      </c>
      <c r="J356" s="47">
        <v>450000</v>
      </c>
      <c r="K356" s="16" t="s">
        <v>62</v>
      </c>
      <c r="L356" s="3" t="s">
        <v>60</v>
      </c>
      <c r="M356" s="3" t="s">
        <v>48</v>
      </c>
      <c r="N356" s="3" t="s">
        <v>58</v>
      </c>
    </row>
    <row r="357" spans="1:14" x14ac:dyDescent="0.3">
      <c r="A357" s="36" t="s">
        <v>37</v>
      </c>
      <c r="B357" s="13">
        <v>109</v>
      </c>
      <c r="C357" s="48" t="str">
        <f t="shared" ref="C357:C362" si="12">HYPERLINK("https://uscode.house.gov/statutes/pl/109/59.pdf", "P.L. 109-59")</f>
        <v>P.L. 109-59</v>
      </c>
      <c r="D357" s="3" t="s">
        <v>744</v>
      </c>
      <c r="E357" s="3" t="s">
        <v>745</v>
      </c>
      <c r="F357" s="3" t="s">
        <v>746</v>
      </c>
      <c r="G357" s="49"/>
      <c r="H357" s="46">
        <v>40451</v>
      </c>
      <c r="I357" s="13">
        <v>2010</v>
      </c>
      <c r="J357" s="16" t="s">
        <v>12</v>
      </c>
      <c r="K357" s="16" t="s">
        <v>62</v>
      </c>
      <c r="L357" s="3" t="s">
        <v>60</v>
      </c>
      <c r="M357" s="3" t="s">
        <v>148</v>
      </c>
      <c r="N357" s="3" t="s">
        <v>158</v>
      </c>
    </row>
    <row r="358" spans="1:14" x14ac:dyDescent="0.3">
      <c r="A358" s="36" t="s">
        <v>37</v>
      </c>
      <c r="B358" s="13">
        <v>109</v>
      </c>
      <c r="C358" s="48" t="str">
        <f t="shared" si="12"/>
        <v>P.L. 109-59</v>
      </c>
      <c r="D358" s="3" t="s">
        <v>744</v>
      </c>
      <c r="E358" s="3" t="s">
        <v>747</v>
      </c>
      <c r="F358" s="3" t="s">
        <v>748</v>
      </c>
      <c r="G358" s="49"/>
      <c r="H358" s="46">
        <v>40451</v>
      </c>
      <c r="I358" s="13">
        <v>2010</v>
      </c>
      <c r="J358" s="47">
        <v>9018000</v>
      </c>
      <c r="K358" s="16" t="s">
        <v>62</v>
      </c>
      <c r="L358" s="3" t="s">
        <v>60</v>
      </c>
      <c r="M358" s="3" t="s">
        <v>148</v>
      </c>
      <c r="N358" s="3" t="s">
        <v>158</v>
      </c>
    </row>
    <row r="359" spans="1:14" x14ac:dyDescent="0.3">
      <c r="A359" s="36" t="s">
        <v>37</v>
      </c>
      <c r="B359" s="13">
        <v>109</v>
      </c>
      <c r="C359" s="48" t="str">
        <f t="shared" si="12"/>
        <v>P.L. 109-59</v>
      </c>
      <c r="D359" s="3" t="s">
        <v>744</v>
      </c>
      <c r="E359" s="3" t="s">
        <v>749</v>
      </c>
      <c r="F359" s="3" t="s">
        <v>750</v>
      </c>
      <c r="G359" s="48" t="str">
        <f>HYPERLINK("https://uscode.house.gov/view.xhtml?req=granuleid:USC-prelim-title49-section26102&amp;num=0&amp;edition=prelim", "49 U.S.C. 26102")</f>
        <v>49 U.S.C. 26102</v>
      </c>
      <c r="H359" s="46">
        <v>41547</v>
      </c>
      <c r="I359" s="13">
        <v>2013</v>
      </c>
      <c r="J359" s="47">
        <v>30000000</v>
      </c>
      <c r="K359" s="16" t="s">
        <v>62</v>
      </c>
      <c r="L359" s="3" t="s">
        <v>109</v>
      </c>
      <c r="M359" s="3" t="s">
        <v>148</v>
      </c>
      <c r="N359" s="3" t="s">
        <v>158</v>
      </c>
    </row>
    <row r="360" spans="1:14" x14ac:dyDescent="0.3">
      <c r="A360" s="36" t="s">
        <v>37</v>
      </c>
      <c r="B360" s="13">
        <v>109</v>
      </c>
      <c r="C360" s="48" t="str">
        <f t="shared" si="12"/>
        <v>P.L. 109-59</v>
      </c>
      <c r="D360" s="3" t="s">
        <v>744</v>
      </c>
      <c r="E360" s="3" t="s">
        <v>751</v>
      </c>
      <c r="F360" s="3" t="s">
        <v>752</v>
      </c>
      <c r="G360" s="49"/>
      <c r="H360" s="46">
        <v>40451</v>
      </c>
      <c r="I360" s="13">
        <v>2010</v>
      </c>
      <c r="J360" s="16" t="s">
        <v>12</v>
      </c>
      <c r="K360" s="16" t="s">
        <v>62</v>
      </c>
      <c r="L360" s="3" t="s">
        <v>109</v>
      </c>
      <c r="M360" s="3" t="s">
        <v>148</v>
      </c>
      <c r="N360" s="3" t="s">
        <v>158</v>
      </c>
    </row>
    <row r="361" spans="1:14" x14ac:dyDescent="0.3">
      <c r="A361" s="36" t="s">
        <v>37</v>
      </c>
      <c r="B361" s="13">
        <v>109</v>
      </c>
      <c r="C361" s="48" t="str">
        <f t="shared" si="12"/>
        <v>P.L. 109-59</v>
      </c>
      <c r="D361" s="3" t="s">
        <v>744</v>
      </c>
      <c r="F361" s="3" t="s">
        <v>753</v>
      </c>
      <c r="G361" s="49"/>
      <c r="H361" s="46">
        <v>39721</v>
      </c>
      <c r="I361" s="13">
        <v>2008</v>
      </c>
      <c r="J361" s="47">
        <v>2500000</v>
      </c>
      <c r="K361" s="16" t="s">
        <v>62</v>
      </c>
      <c r="L361" s="3" t="s">
        <v>109</v>
      </c>
      <c r="M361" s="3" t="s">
        <v>148</v>
      </c>
      <c r="N361" s="3" t="s">
        <v>158</v>
      </c>
    </row>
    <row r="362" spans="1:14" x14ac:dyDescent="0.3">
      <c r="A362" s="36" t="s">
        <v>37</v>
      </c>
      <c r="B362" s="13">
        <v>109</v>
      </c>
      <c r="C362" s="48" t="str">
        <f t="shared" si="12"/>
        <v>P.L. 109-59</v>
      </c>
      <c r="D362" s="3" t="s">
        <v>744</v>
      </c>
      <c r="F362" s="3" t="s">
        <v>754</v>
      </c>
      <c r="G362" s="49"/>
      <c r="H362" s="46">
        <v>40086</v>
      </c>
      <c r="I362" s="13">
        <v>2009</v>
      </c>
      <c r="J362" s="16" t="s">
        <v>12</v>
      </c>
      <c r="K362" s="16" t="s">
        <v>62</v>
      </c>
      <c r="L362" s="3" t="s">
        <v>109</v>
      </c>
      <c r="M362" s="3" t="s">
        <v>148</v>
      </c>
      <c r="N362" s="3" t="s">
        <v>158</v>
      </c>
    </row>
    <row r="363" spans="1:14" x14ac:dyDescent="0.3">
      <c r="A363" s="36" t="s">
        <v>37</v>
      </c>
      <c r="B363" s="13">
        <v>109</v>
      </c>
      <c r="C363" s="48" t="str">
        <f>HYPERLINK("https://uscode.house.gov/statutes/pl/109/90.pdf", "P.L. 109-90")</f>
        <v>P.L. 109-90</v>
      </c>
      <c r="D363" s="3" t="s">
        <v>755</v>
      </c>
      <c r="E363" s="3" t="s">
        <v>756</v>
      </c>
      <c r="F363" s="3" t="s">
        <v>757</v>
      </c>
      <c r="G363" s="48" t="str">
        <f>HYPERLINK("https://uscode.house.gov/view.xhtml?req=granuleid:USC-prelim-title31-section501&amp;num=0&amp;edition=prelim", "31 U.S.C. 501(note)")</f>
        <v>31 U.S.C. 501(note)</v>
      </c>
      <c r="H363" s="46">
        <v>38990</v>
      </c>
      <c r="I363" s="13">
        <v>2006</v>
      </c>
      <c r="J363" s="16" t="s">
        <v>12</v>
      </c>
      <c r="K363" s="16" t="s">
        <v>62</v>
      </c>
      <c r="L363" s="3" t="s">
        <v>642</v>
      </c>
      <c r="M363" s="3" t="s">
        <v>230</v>
      </c>
      <c r="N363" s="3" t="s">
        <v>122</v>
      </c>
    </row>
    <row r="364" spans="1:14" x14ac:dyDescent="0.3">
      <c r="A364" s="36" t="s">
        <v>37</v>
      </c>
      <c r="B364" s="13">
        <v>109</v>
      </c>
      <c r="C364" s="48" t="str">
        <f>HYPERLINK("https://uscode.house.gov/statutes/pl/109/95.pdf", "P.L. 109-95")</f>
        <v>P.L. 109-95</v>
      </c>
      <c r="D364" s="3" t="s">
        <v>758</v>
      </c>
      <c r="E364" s="3" t="s">
        <v>296</v>
      </c>
      <c r="F364" s="3" t="s">
        <v>759</v>
      </c>
      <c r="G364" s="48" t="str">
        <f>HYPERLINK("https://uscode.house.gov/view.xhtml?req=granuleid:USC-prelim-title22-section2152f&amp;num=0&amp;edition=prelim", "22 U.S.C. 2152f")</f>
        <v>22 U.S.C. 2152f</v>
      </c>
      <c r="H364" s="46">
        <v>39355</v>
      </c>
      <c r="I364" s="13">
        <v>2007</v>
      </c>
      <c r="J364" s="16" t="s">
        <v>12</v>
      </c>
      <c r="K364" s="16" t="s">
        <v>62</v>
      </c>
      <c r="L364" s="3" t="s">
        <v>80</v>
      </c>
      <c r="M364" s="3" t="s">
        <v>81</v>
      </c>
      <c r="N364" s="3" t="s">
        <v>82</v>
      </c>
    </row>
    <row r="365" spans="1:14" x14ac:dyDescent="0.3">
      <c r="A365" s="36" t="s">
        <v>37</v>
      </c>
      <c r="B365" s="13">
        <v>109</v>
      </c>
      <c r="C365" s="48" t="str">
        <f>HYPERLINK("https://uscode.house.gov/statutes/pl/109/110.pdf", "P.L. 109-110")</f>
        <v>P.L. 109-110</v>
      </c>
      <c r="D365" s="3" t="s">
        <v>760</v>
      </c>
      <c r="E365" s="3" t="s">
        <v>761</v>
      </c>
      <c r="F365" s="3" t="s">
        <v>762</v>
      </c>
      <c r="G365" s="49"/>
      <c r="H365" s="46">
        <v>40451</v>
      </c>
      <c r="I365" s="13">
        <v>2010</v>
      </c>
      <c r="J365" s="16" t="s">
        <v>12</v>
      </c>
      <c r="K365" s="16" t="s">
        <v>62</v>
      </c>
      <c r="L365" s="3" t="s">
        <v>47</v>
      </c>
      <c r="M365" s="3" t="s">
        <v>48</v>
      </c>
      <c r="N365" s="3" t="s">
        <v>49</v>
      </c>
    </row>
    <row r="366" spans="1:14" x14ac:dyDescent="0.3">
      <c r="A366" s="36" t="s">
        <v>37</v>
      </c>
      <c r="B366" s="13">
        <v>109</v>
      </c>
      <c r="C366" s="48" t="str">
        <f t="shared" ref="C366:C400" si="13">HYPERLINK("https://uscode.house.gov/statutes/pl/109/162.pdf", "P.L. 109-162")</f>
        <v>P.L. 109-162</v>
      </c>
      <c r="D366" s="3" t="s">
        <v>763</v>
      </c>
      <c r="E366" s="3" t="s">
        <v>764</v>
      </c>
      <c r="F366" s="3" t="s">
        <v>765</v>
      </c>
      <c r="G366" s="49"/>
      <c r="H366" s="46">
        <v>40086</v>
      </c>
      <c r="I366" s="13">
        <v>2009</v>
      </c>
      <c r="J366" s="47">
        <v>10000000</v>
      </c>
      <c r="K366" s="16" t="s">
        <v>62</v>
      </c>
      <c r="L366" s="3" t="s">
        <v>41</v>
      </c>
      <c r="M366" s="3" t="s">
        <v>42</v>
      </c>
      <c r="N366" s="3" t="s">
        <v>43</v>
      </c>
    </row>
    <row r="367" spans="1:14" x14ac:dyDescent="0.3">
      <c r="A367" s="36" t="s">
        <v>37</v>
      </c>
      <c r="B367" s="13">
        <v>109</v>
      </c>
      <c r="C367" s="48" t="str">
        <f t="shared" si="13"/>
        <v>P.L. 109-162</v>
      </c>
      <c r="D367" s="3" t="s">
        <v>763</v>
      </c>
      <c r="E367" s="3" t="s">
        <v>766</v>
      </c>
      <c r="F367" s="3" t="s">
        <v>767</v>
      </c>
      <c r="G367" s="49"/>
      <c r="H367" s="46">
        <v>40086</v>
      </c>
      <c r="I367" s="13">
        <v>2009</v>
      </c>
      <c r="J367" s="16" t="s">
        <v>12</v>
      </c>
      <c r="K367" s="47">
        <v>1000000</v>
      </c>
      <c r="L367" s="3" t="s">
        <v>41</v>
      </c>
      <c r="M367" s="3" t="s">
        <v>42</v>
      </c>
      <c r="N367" s="3" t="s">
        <v>43</v>
      </c>
    </row>
    <row r="368" spans="1:14" x14ac:dyDescent="0.3">
      <c r="A368" s="36" t="s">
        <v>37</v>
      </c>
      <c r="B368" s="13">
        <v>109</v>
      </c>
      <c r="C368" s="48" t="str">
        <f t="shared" si="13"/>
        <v>P.L. 109-162</v>
      </c>
      <c r="D368" s="3" t="s">
        <v>763</v>
      </c>
      <c r="E368" s="3" t="s">
        <v>768</v>
      </c>
      <c r="F368" s="3" t="s">
        <v>769</v>
      </c>
      <c r="G368" s="49"/>
      <c r="H368" s="46">
        <v>40086</v>
      </c>
      <c r="I368" s="13">
        <v>2009</v>
      </c>
      <c r="J368" s="47">
        <v>3000000</v>
      </c>
      <c r="K368" s="16" t="s">
        <v>62</v>
      </c>
      <c r="L368" s="3" t="s">
        <v>41</v>
      </c>
      <c r="M368" s="3" t="s">
        <v>42</v>
      </c>
      <c r="N368" s="3" t="s">
        <v>43</v>
      </c>
    </row>
    <row r="369" spans="1:14" x14ac:dyDescent="0.3">
      <c r="A369" s="36" t="s">
        <v>37</v>
      </c>
      <c r="B369" s="13">
        <v>109</v>
      </c>
      <c r="C369" s="48" t="str">
        <f t="shared" si="13"/>
        <v>P.L. 109-162</v>
      </c>
      <c r="D369" s="3" t="s">
        <v>763</v>
      </c>
      <c r="E369" s="3" t="s">
        <v>770</v>
      </c>
      <c r="F369" s="3" t="s">
        <v>771</v>
      </c>
      <c r="G369" s="48" t="str">
        <f>HYPERLINK("https://uscode.house.gov/view.xhtml?req=granuleid:USC-prelim-title34-section10261&amp;num=0&amp;edition=prelim", "34 U.S.C. 10261(a)(11)")</f>
        <v>34 U.S.C. 10261(a)(11)</v>
      </c>
      <c r="H369" s="46">
        <v>40086</v>
      </c>
      <c r="I369" s="13">
        <v>2009</v>
      </c>
      <c r="J369" s="47">
        <v>1047119000</v>
      </c>
      <c r="K369" s="47">
        <v>662880000</v>
      </c>
      <c r="L369" s="3" t="s">
        <v>41</v>
      </c>
      <c r="M369" s="3" t="s">
        <v>42</v>
      </c>
      <c r="N369" s="3" t="s">
        <v>43</v>
      </c>
    </row>
    <row r="370" spans="1:14" x14ac:dyDescent="0.3">
      <c r="A370" s="36" t="s">
        <v>37</v>
      </c>
      <c r="B370" s="13">
        <v>109</v>
      </c>
      <c r="C370" s="48" t="str">
        <f t="shared" si="13"/>
        <v>P.L. 109-162</v>
      </c>
      <c r="D370" s="3" t="s">
        <v>763</v>
      </c>
      <c r="E370" s="3" t="s">
        <v>772</v>
      </c>
      <c r="F370" s="3" t="s">
        <v>773</v>
      </c>
      <c r="G370" s="48" t="str">
        <f>HYPERLINK("https://uscode.house.gov/view.xhtml?req=granuleid:USC-prelim-title42-section3796ee-10&amp;num=0&amp;edition=prelim", "42 U.S.C. 3796ee-10")</f>
        <v>42 U.S.C. 3796ee-10</v>
      </c>
      <c r="H370" s="46">
        <v>40086</v>
      </c>
      <c r="I370" s="13">
        <v>2009</v>
      </c>
      <c r="J370" s="47">
        <v>350000000</v>
      </c>
      <c r="K370" s="16" t="s">
        <v>62</v>
      </c>
      <c r="L370" s="3" t="s">
        <v>41</v>
      </c>
      <c r="M370" s="3" t="s">
        <v>42</v>
      </c>
      <c r="N370" s="3" t="s">
        <v>43</v>
      </c>
    </row>
    <row r="371" spans="1:14" x14ac:dyDescent="0.3">
      <c r="A371" s="36" t="s">
        <v>37</v>
      </c>
      <c r="B371" s="13">
        <v>109</v>
      </c>
      <c r="C371" s="48" t="str">
        <f t="shared" si="13"/>
        <v>P.L. 109-162</v>
      </c>
      <c r="D371" s="3" t="s">
        <v>763</v>
      </c>
      <c r="E371" s="3" t="s">
        <v>774</v>
      </c>
      <c r="F371" s="3" t="s">
        <v>775</v>
      </c>
      <c r="G371" s="49"/>
      <c r="H371" s="46">
        <v>40086</v>
      </c>
      <c r="I371" s="13">
        <v>2009</v>
      </c>
      <c r="J371" s="47">
        <v>30000000</v>
      </c>
      <c r="K371" s="16" t="s">
        <v>62</v>
      </c>
      <c r="L371" s="3" t="s">
        <v>41</v>
      </c>
      <c r="M371" s="3" t="s">
        <v>42</v>
      </c>
      <c r="N371" s="3" t="s">
        <v>43</v>
      </c>
    </row>
    <row r="372" spans="1:14" x14ac:dyDescent="0.3">
      <c r="A372" s="36" t="s">
        <v>37</v>
      </c>
      <c r="B372" s="13">
        <v>109</v>
      </c>
      <c r="C372" s="48" t="str">
        <f t="shared" si="13"/>
        <v>P.L. 109-162</v>
      </c>
      <c r="D372" s="3" t="s">
        <v>763</v>
      </c>
      <c r="E372" s="3" t="s">
        <v>776</v>
      </c>
      <c r="F372" s="3" t="s">
        <v>777</v>
      </c>
      <c r="G372" s="49"/>
      <c r="H372" s="46">
        <v>39721</v>
      </c>
      <c r="I372" s="13">
        <v>2008</v>
      </c>
      <c r="J372" s="47">
        <v>10000000</v>
      </c>
      <c r="K372" s="16" t="s">
        <v>62</v>
      </c>
      <c r="L372" s="3" t="s">
        <v>41</v>
      </c>
      <c r="M372" s="3" t="s">
        <v>42</v>
      </c>
      <c r="N372" s="3" t="s">
        <v>43</v>
      </c>
    </row>
    <row r="373" spans="1:14" x14ac:dyDescent="0.3">
      <c r="A373" s="36" t="s">
        <v>37</v>
      </c>
      <c r="B373" s="13">
        <v>109</v>
      </c>
      <c r="C373" s="48" t="str">
        <f t="shared" si="13"/>
        <v>P.L. 109-162</v>
      </c>
      <c r="D373" s="3" t="s">
        <v>763</v>
      </c>
      <c r="E373" s="3" t="s">
        <v>778</v>
      </c>
      <c r="F373" s="3" t="s">
        <v>779</v>
      </c>
      <c r="G373" s="49"/>
      <c r="H373" s="46">
        <v>40086</v>
      </c>
      <c r="I373" s="13">
        <v>2009</v>
      </c>
      <c r="J373" s="47">
        <v>3000000</v>
      </c>
      <c r="K373" s="16" t="s">
        <v>62</v>
      </c>
      <c r="L373" s="3" t="s">
        <v>41</v>
      </c>
      <c r="M373" s="3" t="s">
        <v>42</v>
      </c>
      <c r="N373" s="3" t="s">
        <v>43</v>
      </c>
    </row>
    <row r="374" spans="1:14" x14ac:dyDescent="0.3">
      <c r="A374" s="36" t="s">
        <v>37</v>
      </c>
      <c r="B374" s="13">
        <v>109</v>
      </c>
      <c r="C374" s="48" t="str">
        <f t="shared" si="13"/>
        <v>P.L. 109-162</v>
      </c>
      <c r="D374" s="3" t="s">
        <v>763</v>
      </c>
      <c r="E374" s="3" t="s">
        <v>780</v>
      </c>
      <c r="F374" s="3" t="s">
        <v>781</v>
      </c>
      <c r="G374" s="49"/>
      <c r="H374" s="46">
        <v>40086</v>
      </c>
      <c r="I374" s="13">
        <v>2009</v>
      </c>
      <c r="J374" s="47">
        <v>4000000</v>
      </c>
      <c r="K374" s="16" t="s">
        <v>62</v>
      </c>
      <c r="L374" s="3" t="s">
        <v>41</v>
      </c>
      <c r="M374" s="3" t="s">
        <v>42</v>
      </c>
      <c r="N374" s="3" t="s">
        <v>43</v>
      </c>
    </row>
    <row r="375" spans="1:14" x14ac:dyDescent="0.3">
      <c r="A375" s="36" t="s">
        <v>37</v>
      </c>
      <c r="B375" s="13">
        <v>109</v>
      </c>
      <c r="C375" s="48" t="str">
        <f t="shared" si="13"/>
        <v>P.L. 109-162</v>
      </c>
      <c r="D375" s="3" t="s">
        <v>763</v>
      </c>
      <c r="E375" s="3" t="s">
        <v>782</v>
      </c>
      <c r="F375" s="3" t="s">
        <v>783</v>
      </c>
      <c r="G375" s="49"/>
      <c r="H375" s="46">
        <v>40451</v>
      </c>
      <c r="I375" s="13">
        <v>2010</v>
      </c>
      <c r="J375" s="47">
        <v>20000000</v>
      </c>
      <c r="K375" s="16" t="s">
        <v>62</v>
      </c>
      <c r="L375" s="3" t="s">
        <v>41</v>
      </c>
      <c r="M375" s="3" t="s">
        <v>42</v>
      </c>
      <c r="N375" s="3" t="s">
        <v>43</v>
      </c>
    </row>
    <row r="376" spans="1:14" x14ac:dyDescent="0.3">
      <c r="A376" s="36" t="s">
        <v>37</v>
      </c>
      <c r="B376" s="13">
        <v>109</v>
      </c>
      <c r="C376" s="48" t="str">
        <f t="shared" si="13"/>
        <v>P.L. 109-162</v>
      </c>
      <c r="D376" s="3" t="s">
        <v>763</v>
      </c>
      <c r="F376" s="3" t="s">
        <v>784</v>
      </c>
      <c r="G376" s="49"/>
      <c r="H376" s="46">
        <v>40086</v>
      </c>
      <c r="I376" s="13">
        <v>2009</v>
      </c>
      <c r="J376" s="47">
        <v>3000000</v>
      </c>
      <c r="K376" s="16" t="s">
        <v>62</v>
      </c>
      <c r="L376" s="3" t="s">
        <v>41</v>
      </c>
      <c r="M376" s="3" t="s">
        <v>42</v>
      </c>
      <c r="N376" s="3" t="s">
        <v>43</v>
      </c>
    </row>
    <row r="377" spans="1:14" x14ac:dyDescent="0.3">
      <c r="A377" s="36" t="s">
        <v>37</v>
      </c>
      <c r="B377" s="13">
        <v>109</v>
      </c>
      <c r="C377" s="48" t="str">
        <f t="shared" si="13"/>
        <v>P.L. 109-162</v>
      </c>
      <c r="D377" s="3" t="s">
        <v>763</v>
      </c>
      <c r="E377" s="3" t="s">
        <v>785</v>
      </c>
      <c r="F377" s="3" t="s">
        <v>786</v>
      </c>
      <c r="G377" s="48" t="str">
        <f>HYPERLINK("https://uscode.house.gov/view.xhtml?req=granuleid:USC-prelim-title8-section1231&amp;num=0&amp;edition=prelim", "8 U.S.C. 1231(i)(5)")</f>
        <v>8 U.S.C. 1231(i)(5)</v>
      </c>
      <c r="H377" s="46">
        <v>40816</v>
      </c>
      <c r="I377" s="13">
        <v>2011</v>
      </c>
      <c r="J377" s="47">
        <v>950000000</v>
      </c>
      <c r="K377" s="47">
        <v>234000000</v>
      </c>
      <c r="L377" s="3" t="s">
        <v>41</v>
      </c>
      <c r="M377" s="3" t="s">
        <v>42</v>
      </c>
      <c r="N377" s="3" t="s">
        <v>43</v>
      </c>
    </row>
    <row r="378" spans="1:14" x14ac:dyDescent="0.3">
      <c r="A378" s="36" t="s">
        <v>37</v>
      </c>
      <c r="B378" s="13">
        <v>109</v>
      </c>
      <c r="C378" s="48" t="str">
        <f t="shared" si="13"/>
        <v>P.L. 109-162</v>
      </c>
      <c r="D378" s="3" t="s">
        <v>763</v>
      </c>
      <c r="E378" s="3" t="s">
        <v>787</v>
      </c>
      <c r="F378" s="3" t="s">
        <v>788</v>
      </c>
      <c r="G378" s="49"/>
      <c r="H378" s="46">
        <v>40086</v>
      </c>
      <c r="I378" s="13">
        <v>2009</v>
      </c>
      <c r="J378" s="47">
        <v>50000000</v>
      </c>
      <c r="K378" s="16" t="s">
        <v>62</v>
      </c>
      <c r="L378" s="3" t="s">
        <v>41</v>
      </c>
      <c r="M378" s="3" t="s">
        <v>42</v>
      </c>
      <c r="N378" s="3" t="s">
        <v>43</v>
      </c>
    </row>
    <row r="379" spans="1:14" x14ac:dyDescent="0.3">
      <c r="A379" s="36" t="s">
        <v>37</v>
      </c>
      <c r="B379" s="13">
        <v>109</v>
      </c>
      <c r="C379" s="48" t="str">
        <f t="shared" si="13"/>
        <v>P.L. 109-162</v>
      </c>
      <c r="D379" s="3" t="s">
        <v>763</v>
      </c>
      <c r="E379" s="3" t="s">
        <v>789</v>
      </c>
      <c r="F379" s="3" t="s">
        <v>790</v>
      </c>
      <c r="G379" s="49"/>
      <c r="H379" s="46">
        <v>40086</v>
      </c>
      <c r="I379" s="13">
        <v>2009</v>
      </c>
      <c r="J379" s="47">
        <v>181561000</v>
      </c>
      <c r="K379" s="47">
        <v>145000000</v>
      </c>
      <c r="L379" s="3" t="s">
        <v>41</v>
      </c>
      <c r="M379" s="3" t="s">
        <v>42</v>
      </c>
      <c r="N379" s="3" t="s">
        <v>43</v>
      </c>
    </row>
    <row r="380" spans="1:14" x14ac:dyDescent="0.3">
      <c r="A380" s="36" t="s">
        <v>37</v>
      </c>
      <c r="B380" s="13">
        <v>109</v>
      </c>
      <c r="C380" s="48" t="str">
        <f t="shared" si="13"/>
        <v>P.L. 109-162</v>
      </c>
      <c r="D380" s="3" t="s">
        <v>763</v>
      </c>
      <c r="E380" s="3" t="s">
        <v>791</v>
      </c>
      <c r="F380" s="3" t="s">
        <v>792</v>
      </c>
      <c r="G380" s="49"/>
      <c r="H380" s="46">
        <v>40086</v>
      </c>
      <c r="I380" s="13">
        <v>2009</v>
      </c>
      <c r="J380" s="47">
        <v>243291000</v>
      </c>
      <c r="K380" s="47">
        <v>860000000</v>
      </c>
      <c r="L380" s="3" t="s">
        <v>41</v>
      </c>
      <c r="M380" s="3" t="s">
        <v>42</v>
      </c>
      <c r="N380" s="3" t="s">
        <v>43</v>
      </c>
    </row>
    <row r="381" spans="1:14" x14ac:dyDescent="0.3">
      <c r="A381" s="36" t="s">
        <v>37</v>
      </c>
      <c r="B381" s="13">
        <v>109</v>
      </c>
      <c r="C381" s="48" t="str">
        <f t="shared" si="13"/>
        <v>P.L. 109-162</v>
      </c>
      <c r="D381" s="3" t="s">
        <v>763</v>
      </c>
      <c r="E381" s="3" t="s">
        <v>793</v>
      </c>
      <c r="F381" s="3" t="s">
        <v>794</v>
      </c>
      <c r="G381" s="49"/>
      <c r="H381" s="46">
        <v>40086</v>
      </c>
      <c r="I381" s="13">
        <v>2009</v>
      </c>
      <c r="J381" s="47">
        <v>81922000</v>
      </c>
      <c r="K381" s="47">
        <v>139000000</v>
      </c>
      <c r="L381" s="3" t="s">
        <v>41</v>
      </c>
      <c r="M381" s="3" t="s">
        <v>42</v>
      </c>
      <c r="N381" s="3" t="s">
        <v>43</v>
      </c>
    </row>
    <row r="382" spans="1:14" x14ac:dyDescent="0.3">
      <c r="A382" s="36" t="s">
        <v>37</v>
      </c>
      <c r="B382" s="13">
        <v>109</v>
      </c>
      <c r="C382" s="48" t="str">
        <f t="shared" si="13"/>
        <v>P.L. 109-162</v>
      </c>
      <c r="D382" s="3" t="s">
        <v>763</v>
      </c>
      <c r="E382" s="3" t="s">
        <v>795</v>
      </c>
      <c r="F382" s="3" t="s">
        <v>796</v>
      </c>
      <c r="G382" s="49"/>
      <c r="H382" s="46">
        <v>40086</v>
      </c>
      <c r="I382" s="13">
        <v>2009</v>
      </c>
      <c r="J382" s="47">
        <v>764526000</v>
      </c>
      <c r="K382" s="47">
        <v>1169738000</v>
      </c>
      <c r="L382" s="3" t="s">
        <v>41</v>
      </c>
      <c r="M382" s="3" t="s">
        <v>42</v>
      </c>
      <c r="N382" s="3" t="s">
        <v>43</v>
      </c>
    </row>
    <row r="383" spans="1:14" x14ac:dyDescent="0.3">
      <c r="A383" s="36" t="s">
        <v>37</v>
      </c>
      <c r="B383" s="13">
        <v>109</v>
      </c>
      <c r="C383" s="48" t="str">
        <f t="shared" si="13"/>
        <v>P.L. 109-162</v>
      </c>
      <c r="D383" s="3" t="s">
        <v>763</v>
      </c>
      <c r="E383" s="3" t="s">
        <v>797</v>
      </c>
      <c r="F383" s="3" t="s">
        <v>798</v>
      </c>
      <c r="G383" s="49"/>
      <c r="H383" s="46">
        <v>40086</v>
      </c>
      <c r="I383" s="13">
        <v>2009</v>
      </c>
      <c r="J383" s="47">
        <v>162488000</v>
      </c>
      <c r="K383" s="47">
        <v>225000000</v>
      </c>
      <c r="L383" s="3" t="s">
        <v>41</v>
      </c>
      <c r="M383" s="3" t="s">
        <v>42</v>
      </c>
      <c r="N383" s="3" t="s">
        <v>43</v>
      </c>
    </row>
    <row r="384" spans="1:14" x14ac:dyDescent="0.3">
      <c r="A384" s="36" t="s">
        <v>37</v>
      </c>
      <c r="B384" s="13">
        <v>109</v>
      </c>
      <c r="C384" s="48" t="str">
        <f t="shared" si="13"/>
        <v>P.L. 109-162</v>
      </c>
      <c r="D384" s="3" t="s">
        <v>763</v>
      </c>
      <c r="E384" s="3" t="s">
        <v>799</v>
      </c>
      <c r="F384" s="3" t="s">
        <v>800</v>
      </c>
      <c r="G384" s="49"/>
      <c r="H384" s="46">
        <v>40086</v>
      </c>
      <c r="I384" s="13">
        <v>2009</v>
      </c>
      <c r="J384" s="47">
        <v>1829194000</v>
      </c>
      <c r="K384" s="47">
        <v>2632000000</v>
      </c>
      <c r="L384" s="3" t="s">
        <v>41</v>
      </c>
      <c r="M384" s="3" t="s">
        <v>42</v>
      </c>
      <c r="N384" s="3" t="s">
        <v>43</v>
      </c>
    </row>
    <row r="385" spans="1:14" x14ac:dyDescent="0.3">
      <c r="A385" s="36" t="s">
        <v>37</v>
      </c>
      <c r="B385" s="13">
        <v>109</v>
      </c>
      <c r="C385" s="48" t="str">
        <f t="shared" si="13"/>
        <v>P.L. 109-162</v>
      </c>
      <c r="D385" s="3" t="s">
        <v>763</v>
      </c>
      <c r="E385" s="3" t="s">
        <v>801</v>
      </c>
      <c r="F385" s="3" t="s">
        <v>802</v>
      </c>
      <c r="G385" s="49"/>
      <c r="H385" s="46">
        <v>40086</v>
      </c>
      <c r="I385" s="13">
        <v>2009</v>
      </c>
      <c r="J385" s="47">
        <v>6480608000</v>
      </c>
      <c r="K385" s="47">
        <v>10691000000</v>
      </c>
      <c r="L385" s="3" t="s">
        <v>41</v>
      </c>
      <c r="M385" s="3" t="s">
        <v>42</v>
      </c>
      <c r="N385" s="3" t="s">
        <v>43</v>
      </c>
    </row>
    <row r="386" spans="1:14" x14ac:dyDescent="0.3">
      <c r="A386" s="36" t="s">
        <v>37</v>
      </c>
      <c r="B386" s="13">
        <v>109</v>
      </c>
      <c r="C386" s="48" t="str">
        <f t="shared" si="13"/>
        <v>P.L. 109-162</v>
      </c>
      <c r="D386" s="3" t="s">
        <v>763</v>
      </c>
      <c r="E386" s="3" t="s">
        <v>803</v>
      </c>
      <c r="F386" s="3" t="s">
        <v>804</v>
      </c>
      <c r="G386" s="49"/>
      <c r="H386" s="46">
        <v>40086</v>
      </c>
      <c r="I386" s="13">
        <v>2009</v>
      </c>
      <c r="J386" s="47">
        <v>900178000</v>
      </c>
      <c r="K386" s="47">
        <v>1723000000</v>
      </c>
      <c r="L386" s="3" t="s">
        <v>41</v>
      </c>
      <c r="M386" s="3" t="s">
        <v>42</v>
      </c>
      <c r="N386" s="3" t="s">
        <v>43</v>
      </c>
    </row>
    <row r="387" spans="1:14" x14ac:dyDescent="0.3">
      <c r="A387" s="36" t="s">
        <v>37</v>
      </c>
      <c r="B387" s="13">
        <v>109</v>
      </c>
      <c r="C387" s="48" t="str">
        <f t="shared" si="13"/>
        <v>P.L. 109-162</v>
      </c>
      <c r="D387" s="3" t="s">
        <v>763</v>
      </c>
      <c r="E387" s="3" t="s">
        <v>805</v>
      </c>
      <c r="F387" s="3" t="s">
        <v>806</v>
      </c>
      <c r="G387" s="49"/>
      <c r="H387" s="46">
        <v>40086</v>
      </c>
      <c r="I387" s="13">
        <v>2009</v>
      </c>
      <c r="J387" s="47">
        <v>5698292000</v>
      </c>
      <c r="K387" s="47">
        <v>8392588000</v>
      </c>
      <c r="L387" s="3" t="s">
        <v>41</v>
      </c>
      <c r="M387" s="3" t="s">
        <v>42</v>
      </c>
      <c r="N387" s="3" t="s">
        <v>43</v>
      </c>
    </row>
    <row r="388" spans="1:14" x14ac:dyDescent="0.3">
      <c r="A388" s="36" t="s">
        <v>37</v>
      </c>
      <c r="B388" s="13">
        <v>109</v>
      </c>
      <c r="C388" s="48" t="str">
        <f t="shared" si="13"/>
        <v>P.L. 109-162</v>
      </c>
      <c r="D388" s="3" t="s">
        <v>763</v>
      </c>
      <c r="E388" s="3" t="s">
        <v>807</v>
      </c>
      <c r="F388" s="3" t="s">
        <v>808</v>
      </c>
      <c r="G388" s="49"/>
      <c r="H388" s="46">
        <v>40086</v>
      </c>
      <c r="I388" s="13">
        <v>2009</v>
      </c>
      <c r="J388" s="47">
        <v>1930462000</v>
      </c>
      <c r="K388" s="47">
        <v>2563116000</v>
      </c>
      <c r="L388" s="3" t="s">
        <v>41</v>
      </c>
      <c r="M388" s="3" t="s">
        <v>42</v>
      </c>
      <c r="N388" s="3" t="s">
        <v>43</v>
      </c>
    </row>
    <row r="389" spans="1:14" x14ac:dyDescent="0.3">
      <c r="A389" s="36" t="s">
        <v>37</v>
      </c>
      <c r="B389" s="13">
        <v>109</v>
      </c>
      <c r="C389" s="48" t="str">
        <f t="shared" si="13"/>
        <v>P.L. 109-162</v>
      </c>
      <c r="D389" s="3" t="s">
        <v>763</v>
      </c>
      <c r="E389" s="3" t="s">
        <v>809</v>
      </c>
      <c r="F389" s="3" t="s">
        <v>810</v>
      </c>
      <c r="G389" s="49"/>
      <c r="H389" s="46">
        <v>40086</v>
      </c>
      <c r="I389" s="13">
        <v>2009</v>
      </c>
      <c r="J389" s="47">
        <v>1038939000</v>
      </c>
      <c r="K389" s="47">
        <v>1747000000</v>
      </c>
      <c r="L389" s="3" t="s">
        <v>41</v>
      </c>
      <c r="M389" s="3" t="s">
        <v>42</v>
      </c>
      <c r="N389" s="3" t="s">
        <v>43</v>
      </c>
    </row>
    <row r="390" spans="1:14" x14ac:dyDescent="0.3">
      <c r="A390" s="36" t="s">
        <v>37</v>
      </c>
      <c r="B390" s="13">
        <v>109</v>
      </c>
      <c r="C390" s="48" t="str">
        <f t="shared" si="13"/>
        <v>P.L. 109-162</v>
      </c>
      <c r="D390" s="3" t="s">
        <v>763</v>
      </c>
      <c r="E390" s="3" t="s">
        <v>811</v>
      </c>
      <c r="F390" s="3" t="s">
        <v>812</v>
      </c>
      <c r="G390" s="49"/>
      <c r="H390" s="46">
        <v>40086</v>
      </c>
      <c r="I390" s="13">
        <v>2009</v>
      </c>
      <c r="J390" s="47">
        <v>203755000</v>
      </c>
      <c r="K390" s="47">
        <v>270000000</v>
      </c>
      <c r="L390" s="3" t="s">
        <v>41</v>
      </c>
      <c r="M390" s="3" t="s">
        <v>42</v>
      </c>
      <c r="N390" s="3" t="s">
        <v>43</v>
      </c>
    </row>
    <row r="391" spans="1:14" x14ac:dyDescent="0.3">
      <c r="A391" s="36" t="s">
        <v>37</v>
      </c>
      <c r="B391" s="13">
        <v>109</v>
      </c>
      <c r="C391" s="48" t="str">
        <f t="shared" si="13"/>
        <v>P.L. 109-162</v>
      </c>
      <c r="D391" s="3" t="s">
        <v>763</v>
      </c>
      <c r="E391" s="3" t="s">
        <v>813</v>
      </c>
      <c r="F391" s="3" t="s">
        <v>814</v>
      </c>
      <c r="G391" s="49"/>
      <c r="H391" s="46">
        <v>40086</v>
      </c>
      <c r="I391" s="13">
        <v>2009</v>
      </c>
      <c r="J391" s="47">
        <v>744593000</v>
      </c>
      <c r="K391" s="47">
        <v>550458000</v>
      </c>
      <c r="L391" s="3" t="s">
        <v>41</v>
      </c>
      <c r="M391" s="3" t="s">
        <v>42</v>
      </c>
      <c r="N391" s="3" t="s">
        <v>43</v>
      </c>
    </row>
    <row r="392" spans="1:14" x14ac:dyDescent="0.3">
      <c r="A392" s="36" t="s">
        <v>37</v>
      </c>
      <c r="B392" s="13">
        <v>109</v>
      </c>
      <c r="C392" s="48" t="str">
        <f t="shared" si="13"/>
        <v>P.L. 109-162</v>
      </c>
      <c r="D392" s="3" t="s">
        <v>763</v>
      </c>
      <c r="E392" s="3" t="s">
        <v>815</v>
      </c>
      <c r="F392" s="3" t="s">
        <v>816</v>
      </c>
      <c r="G392" s="49"/>
      <c r="H392" s="46">
        <v>40086</v>
      </c>
      <c r="I392" s="13">
        <v>2009</v>
      </c>
      <c r="J392" s="47">
        <v>1429000</v>
      </c>
      <c r="K392" s="47">
        <v>2504000</v>
      </c>
      <c r="L392" s="3" t="s">
        <v>41</v>
      </c>
      <c r="M392" s="3" t="s">
        <v>42</v>
      </c>
      <c r="N392" s="3" t="s">
        <v>43</v>
      </c>
    </row>
    <row r="393" spans="1:14" x14ac:dyDescent="0.3">
      <c r="A393" s="36" t="s">
        <v>37</v>
      </c>
      <c r="B393" s="13">
        <v>109</v>
      </c>
      <c r="C393" s="48" t="str">
        <f t="shared" si="13"/>
        <v>P.L. 109-162</v>
      </c>
      <c r="D393" s="3" t="s">
        <v>763</v>
      </c>
      <c r="E393" s="3" t="s">
        <v>817</v>
      </c>
      <c r="F393" s="3" t="s">
        <v>818</v>
      </c>
      <c r="G393" s="49"/>
      <c r="H393" s="46">
        <v>40086</v>
      </c>
      <c r="I393" s="13">
        <v>2009</v>
      </c>
      <c r="J393" s="47">
        <v>22000000</v>
      </c>
      <c r="K393" s="47">
        <v>20514000</v>
      </c>
      <c r="L393" s="3" t="s">
        <v>41</v>
      </c>
      <c r="M393" s="3" t="s">
        <v>42</v>
      </c>
      <c r="N393" s="3" t="s">
        <v>43</v>
      </c>
    </row>
    <row r="394" spans="1:14" x14ac:dyDescent="0.3">
      <c r="A394" s="36" t="s">
        <v>37</v>
      </c>
      <c r="B394" s="13">
        <v>109</v>
      </c>
      <c r="C394" s="48" t="str">
        <f t="shared" si="13"/>
        <v>P.L. 109-162</v>
      </c>
      <c r="D394" s="3" t="s">
        <v>763</v>
      </c>
      <c r="E394" s="3" t="s">
        <v>819</v>
      </c>
      <c r="F394" s="3" t="s">
        <v>820</v>
      </c>
      <c r="G394" s="49"/>
      <c r="H394" s="46">
        <v>40086</v>
      </c>
      <c r="I394" s="13">
        <v>2009</v>
      </c>
      <c r="J394" s="47">
        <v>12711000</v>
      </c>
      <c r="K394" s="47">
        <v>14591000</v>
      </c>
      <c r="L394" s="3" t="s">
        <v>41</v>
      </c>
      <c r="M394" s="3" t="s">
        <v>42</v>
      </c>
      <c r="N394" s="3" t="s">
        <v>43</v>
      </c>
    </row>
    <row r="395" spans="1:14" x14ac:dyDescent="0.3">
      <c r="A395" s="36" t="s">
        <v>37</v>
      </c>
      <c r="B395" s="13">
        <v>109</v>
      </c>
      <c r="C395" s="48" t="str">
        <f t="shared" si="13"/>
        <v>P.L. 109-162</v>
      </c>
      <c r="D395" s="3" t="s">
        <v>763</v>
      </c>
      <c r="E395" s="3" t="s">
        <v>821</v>
      </c>
      <c r="F395" s="3" t="s">
        <v>822</v>
      </c>
      <c r="G395" s="49"/>
      <c r="H395" s="46">
        <v>40086</v>
      </c>
      <c r="I395" s="13">
        <v>2009</v>
      </c>
      <c r="J395" s="47">
        <v>1858509000</v>
      </c>
      <c r="K395" s="47">
        <v>2129789000</v>
      </c>
      <c r="L395" s="3" t="s">
        <v>41</v>
      </c>
      <c r="M395" s="3" t="s">
        <v>42</v>
      </c>
      <c r="N395" s="3" t="s">
        <v>43</v>
      </c>
    </row>
    <row r="396" spans="1:14" x14ac:dyDescent="0.3">
      <c r="A396" s="36" t="s">
        <v>37</v>
      </c>
      <c r="B396" s="13">
        <v>109</v>
      </c>
      <c r="C396" s="48" t="str">
        <f t="shared" si="13"/>
        <v>P.L. 109-162</v>
      </c>
      <c r="D396" s="3" t="s">
        <v>763</v>
      </c>
      <c r="E396" s="3" t="s">
        <v>823</v>
      </c>
      <c r="F396" s="3" t="s">
        <v>824</v>
      </c>
      <c r="G396" s="49"/>
      <c r="H396" s="46">
        <v>40086</v>
      </c>
      <c r="I396" s="13">
        <v>2009</v>
      </c>
      <c r="J396" s="47">
        <v>204152000</v>
      </c>
      <c r="K396" s="47">
        <v>138000000</v>
      </c>
      <c r="L396" s="3" t="s">
        <v>41</v>
      </c>
      <c r="M396" s="3" t="s">
        <v>42</v>
      </c>
      <c r="N396" s="3" t="s">
        <v>43</v>
      </c>
    </row>
    <row r="397" spans="1:14" x14ac:dyDescent="0.3">
      <c r="A397" s="36" t="s">
        <v>37</v>
      </c>
      <c r="B397" s="13">
        <v>109</v>
      </c>
      <c r="C397" s="48" t="str">
        <f t="shared" si="13"/>
        <v>P.L. 109-162</v>
      </c>
      <c r="D397" s="3" t="s">
        <v>763</v>
      </c>
      <c r="E397" s="3" t="s">
        <v>825</v>
      </c>
      <c r="F397" s="3" t="s">
        <v>826</v>
      </c>
      <c r="G397" s="49"/>
      <c r="H397" s="46">
        <v>40086</v>
      </c>
      <c r="I397" s="13">
        <v>2009</v>
      </c>
      <c r="J397" s="47">
        <v>144771000</v>
      </c>
      <c r="K397" s="47">
        <v>25560000</v>
      </c>
      <c r="L397" s="3" t="s">
        <v>41</v>
      </c>
      <c r="M397" s="3" t="s">
        <v>42</v>
      </c>
      <c r="N397" s="3" t="s">
        <v>43</v>
      </c>
    </row>
    <row r="398" spans="1:14" x14ac:dyDescent="0.3">
      <c r="A398" s="36" t="s">
        <v>37</v>
      </c>
      <c r="B398" s="13">
        <v>109</v>
      </c>
      <c r="C398" s="48" t="str">
        <f t="shared" si="13"/>
        <v>P.L. 109-162</v>
      </c>
      <c r="D398" s="3" t="s">
        <v>763</v>
      </c>
      <c r="E398" s="3" t="s">
        <v>827</v>
      </c>
      <c r="F398" s="3" t="s">
        <v>828</v>
      </c>
      <c r="G398" s="49"/>
      <c r="H398" s="46">
        <v>40086</v>
      </c>
      <c r="I398" s="13">
        <v>2009</v>
      </c>
      <c r="J398" s="47">
        <v>132226000</v>
      </c>
      <c r="K398" s="16" t="s">
        <v>62</v>
      </c>
      <c r="L398" s="3" t="s">
        <v>41</v>
      </c>
      <c r="M398" s="3" t="s">
        <v>42</v>
      </c>
      <c r="N398" s="3" t="s">
        <v>43</v>
      </c>
    </row>
    <row r="399" spans="1:14" x14ac:dyDescent="0.3">
      <c r="A399" s="36" t="s">
        <v>37</v>
      </c>
      <c r="B399" s="13">
        <v>109</v>
      </c>
      <c r="C399" s="48" t="str">
        <f t="shared" si="13"/>
        <v>P.L. 109-162</v>
      </c>
      <c r="D399" s="3" t="s">
        <v>763</v>
      </c>
      <c r="E399" s="3" t="s">
        <v>829</v>
      </c>
      <c r="F399" s="3" t="s">
        <v>830</v>
      </c>
      <c r="G399" s="49"/>
      <c r="H399" s="46">
        <v>40086</v>
      </c>
      <c r="I399" s="13">
        <v>2009</v>
      </c>
      <c r="J399" s="47">
        <v>16837000</v>
      </c>
      <c r="K399" s="47">
        <v>700000000</v>
      </c>
      <c r="L399" s="3" t="s">
        <v>41</v>
      </c>
      <c r="M399" s="3" t="s">
        <v>42</v>
      </c>
      <c r="N399" s="3" t="s">
        <v>43</v>
      </c>
    </row>
    <row r="400" spans="1:14" x14ac:dyDescent="0.3">
      <c r="A400" s="36" t="s">
        <v>37</v>
      </c>
      <c r="B400" s="13">
        <v>109</v>
      </c>
      <c r="C400" s="48" t="str">
        <f t="shared" si="13"/>
        <v>P.L. 109-162</v>
      </c>
      <c r="D400" s="3" t="s">
        <v>763</v>
      </c>
      <c r="E400" s="3" t="s">
        <v>831</v>
      </c>
      <c r="F400" s="3" t="s">
        <v>832</v>
      </c>
      <c r="G400" s="49"/>
      <c r="H400" s="46">
        <v>40086</v>
      </c>
      <c r="I400" s="13">
        <v>2009</v>
      </c>
      <c r="J400" s="47">
        <v>35257000</v>
      </c>
      <c r="K400" s="47">
        <v>662880000</v>
      </c>
      <c r="L400" s="3" t="s">
        <v>41</v>
      </c>
      <c r="M400" s="3" t="s">
        <v>42</v>
      </c>
      <c r="N400" s="3" t="s">
        <v>43</v>
      </c>
    </row>
    <row r="401" spans="1:14" x14ac:dyDescent="0.3">
      <c r="A401" s="36" t="s">
        <v>37</v>
      </c>
      <c r="B401" s="13">
        <v>109</v>
      </c>
      <c r="C401" s="48" t="str">
        <f>HYPERLINK("https://uscode.house.gov/statutes/pl/109/165.pdf", "P.L. 109-165")</f>
        <v>P.L. 109-165</v>
      </c>
      <c r="D401" s="3" t="s">
        <v>833</v>
      </c>
      <c r="E401" s="3" t="s">
        <v>296</v>
      </c>
      <c r="F401" s="3" t="s">
        <v>834</v>
      </c>
      <c r="G401" s="48" t="str">
        <f>HYPERLINK("https://uscode.house.gov/view.xhtml?req=granuleid:USC-prelim-title22-section2152&amp;num=0&amp;edition=prelim", "22 U.S.C. 2152(note)")</f>
        <v>22 U.S.C. 2152(note)</v>
      </c>
      <c r="H401" s="46">
        <v>39355</v>
      </c>
      <c r="I401" s="13">
        <v>2007</v>
      </c>
      <c r="J401" s="47">
        <v>50000000</v>
      </c>
      <c r="K401" s="47">
        <v>19000000</v>
      </c>
      <c r="L401" s="3" t="s">
        <v>80</v>
      </c>
      <c r="M401" s="3" t="s">
        <v>81</v>
      </c>
      <c r="N401" s="3" t="s">
        <v>72</v>
      </c>
    </row>
    <row r="402" spans="1:14" x14ac:dyDescent="0.3">
      <c r="A402" s="36" t="s">
        <v>37</v>
      </c>
      <c r="B402" s="13">
        <v>109</v>
      </c>
      <c r="C402" s="48" t="str">
        <f>HYPERLINK("https://uscode.house.gov/statutes/pl/109/165.pdf", "P.L. 109-165")</f>
        <v>P.L. 109-165</v>
      </c>
      <c r="D402" s="3" t="s">
        <v>833</v>
      </c>
      <c r="F402" s="3" t="s">
        <v>835</v>
      </c>
      <c r="G402" s="48" t="str">
        <f>HYPERLINK("https://uscode.house.gov/view.xhtml?req=granuleid:USC-prelim-title22-section2152&amp;num=0&amp;edition=prelim", "22 U.S.C. 2152")</f>
        <v>22 U.S.C. 2152</v>
      </c>
      <c r="H402" s="46">
        <v>39355</v>
      </c>
      <c r="I402" s="13">
        <v>2007</v>
      </c>
      <c r="J402" s="47">
        <v>25000000</v>
      </c>
      <c r="K402" s="16" t="s">
        <v>62</v>
      </c>
      <c r="L402" s="3" t="s">
        <v>80</v>
      </c>
      <c r="M402" s="3" t="s">
        <v>81</v>
      </c>
      <c r="N402" s="3" t="s">
        <v>82</v>
      </c>
    </row>
    <row r="403" spans="1:14" x14ac:dyDescent="0.3">
      <c r="A403" s="36" t="s">
        <v>37</v>
      </c>
      <c r="B403" s="13">
        <v>109</v>
      </c>
      <c r="C403" s="48" t="str">
        <f>HYPERLINK("https://uscode.house.gov/statutes/pl/109/165.pdf", "P.L. 109-165")</f>
        <v>P.L. 109-165</v>
      </c>
      <c r="D403" s="3" t="s">
        <v>833</v>
      </c>
      <c r="F403" s="3" t="s">
        <v>836</v>
      </c>
      <c r="G403" s="49"/>
      <c r="H403" s="46">
        <v>39355</v>
      </c>
      <c r="I403" s="13">
        <v>2007</v>
      </c>
      <c r="J403" s="47">
        <v>15000000</v>
      </c>
      <c r="K403" s="47">
        <v>21000000</v>
      </c>
      <c r="L403" s="3" t="s">
        <v>80</v>
      </c>
      <c r="M403" s="3" t="s">
        <v>81</v>
      </c>
      <c r="N403" s="3" t="s">
        <v>82</v>
      </c>
    </row>
    <row r="404" spans="1:14" x14ac:dyDescent="0.3">
      <c r="A404" s="36" t="s">
        <v>37</v>
      </c>
      <c r="B404" s="13">
        <v>109</v>
      </c>
      <c r="C404" s="48" t="str">
        <f>HYPERLINK("https://uscode.house.gov/statutes/pl/109/166.pdf", "P.L. 109-166")</f>
        <v>P.L. 109-166</v>
      </c>
      <c r="D404" s="3" t="s">
        <v>837</v>
      </c>
      <c r="E404" s="3" t="s">
        <v>296</v>
      </c>
      <c r="F404" s="3" t="s">
        <v>838</v>
      </c>
      <c r="G404" s="48" t="str">
        <f>HYPERLINK("https://uscode.house.gov/view.xhtml?req=granuleid:USC-prelim-title16-section719c&amp;num=0&amp;edition=prelim", "16 U.S.C. 719c")</f>
        <v>16 U.S.C. 719c</v>
      </c>
      <c r="H404" s="46">
        <v>40451</v>
      </c>
      <c r="I404" s="13">
        <v>2010</v>
      </c>
      <c r="J404" s="47">
        <v>350000</v>
      </c>
      <c r="K404" s="16" t="s">
        <v>62</v>
      </c>
      <c r="L404" s="3" t="s">
        <v>47</v>
      </c>
      <c r="M404" s="3" t="s">
        <v>67</v>
      </c>
      <c r="N404" s="3" t="s">
        <v>49</v>
      </c>
    </row>
    <row r="405" spans="1:14" x14ac:dyDescent="0.3">
      <c r="A405" s="36" t="s">
        <v>37</v>
      </c>
      <c r="B405" s="13">
        <v>109</v>
      </c>
      <c r="C405" s="48" t="str">
        <f>HYPERLINK("https://uscode.house.gov/statutes/pl/109/168.pdf", "P.L. 109-168")</f>
        <v>P.L. 109-168</v>
      </c>
      <c r="D405" s="3" t="s">
        <v>839</v>
      </c>
      <c r="E405" s="3" t="s">
        <v>840</v>
      </c>
      <c r="F405" s="3" t="s">
        <v>841</v>
      </c>
      <c r="G405" s="48" t="str">
        <f>HYPERLINK("https://uscode.house.gov/view.xhtml?req=granuleid:USC-prelim-title42-section6991m&amp;num=0&amp;edition=prelim", "42 U.S.C. 6991m")</f>
        <v>42 U.S.C. 6991m</v>
      </c>
      <c r="H405" s="46">
        <v>40816</v>
      </c>
      <c r="I405" s="13">
        <v>2011</v>
      </c>
      <c r="J405" s="47">
        <v>605000000</v>
      </c>
      <c r="K405" s="47">
        <v>93205000</v>
      </c>
      <c r="L405" s="3" t="s">
        <v>60</v>
      </c>
      <c r="M405" s="3" t="s">
        <v>48</v>
      </c>
      <c r="N405" s="3" t="s">
        <v>49</v>
      </c>
    </row>
    <row r="406" spans="1:14" x14ac:dyDescent="0.3">
      <c r="A406" s="36" t="s">
        <v>37</v>
      </c>
      <c r="B406" s="13">
        <v>109</v>
      </c>
      <c r="C406" s="48" t="str">
        <f>HYPERLINK("https://uscode.house.gov/statutes/pl/109/177.pdf", "P.L. 109-177")</f>
        <v>P.L. 109-177</v>
      </c>
      <c r="D406" s="3" t="s">
        <v>842</v>
      </c>
      <c r="E406" s="3" t="s">
        <v>843</v>
      </c>
      <c r="F406" s="3" t="s">
        <v>844</v>
      </c>
      <c r="G406" s="49"/>
      <c r="H406" s="46">
        <v>39355</v>
      </c>
      <c r="I406" s="13">
        <v>2007</v>
      </c>
      <c r="J406" s="47">
        <v>1000000</v>
      </c>
      <c r="K406" s="16" t="s">
        <v>62</v>
      </c>
      <c r="L406" s="3" t="s">
        <v>41</v>
      </c>
      <c r="M406" s="3" t="s">
        <v>42</v>
      </c>
      <c r="N406" s="3" t="s">
        <v>82</v>
      </c>
    </row>
    <row r="407" spans="1:14" x14ac:dyDescent="0.3">
      <c r="A407" s="36" t="s">
        <v>37</v>
      </c>
      <c r="B407" s="13">
        <v>109</v>
      </c>
      <c r="C407" s="48" t="str">
        <f>HYPERLINK("https://uscode.house.gov/statutes/pl/109/177.pdf", "P.L. 109-177")</f>
        <v>P.L. 109-177</v>
      </c>
      <c r="D407" s="3" t="s">
        <v>842</v>
      </c>
      <c r="E407" s="3" t="s">
        <v>845</v>
      </c>
      <c r="F407" s="3" t="s">
        <v>846</v>
      </c>
      <c r="G407" s="49"/>
      <c r="H407" s="46">
        <v>39355</v>
      </c>
      <c r="I407" s="13">
        <v>2007</v>
      </c>
      <c r="J407" s="47">
        <v>4000000</v>
      </c>
      <c r="K407" s="16" t="s">
        <v>62</v>
      </c>
      <c r="L407" s="3" t="s">
        <v>41</v>
      </c>
      <c r="M407" s="3" t="s">
        <v>42</v>
      </c>
      <c r="N407" s="3" t="s">
        <v>43</v>
      </c>
    </row>
    <row r="408" spans="1:14" x14ac:dyDescent="0.3">
      <c r="A408" s="36" t="s">
        <v>37</v>
      </c>
      <c r="B408" s="13">
        <v>109</v>
      </c>
      <c r="C408" s="48" t="str">
        <f>HYPERLINK("https://uscode.house.gov/statutes/pl/109/177.pdf", "P.L. 109-177")</f>
        <v>P.L. 109-177</v>
      </c>
      <c r="D408" s="3" t="s">
        <v>842</v>
      </c>
      <c r="E408" s="3" t="s">
        <v>847</v>
      </c>
      <c r="F408" s="3" t="s">
        <v>848</v>
      </c>
      <c r="G408" s="49"/>
      <c r="H408" s="46">
        <v>40451</v>
      </c>
      <c r="I408" s="13">
        <v>2010</v>
      </c>
      <c r="J408" s="47">
        <v>99000000</v>
      </c>
      <c r="K408" s="16" t="s">
        <v>62</v>
      </c>
      <c r="L408" s="3" t="s">
        <v>41</v>
      </c>
      <c r="M408" s="3" t="s">
        <v>42</v>
      </c>
      <c r="N408" s="3" t="s">
        <v>43</v>
      </c>
    </row>
    <row r="409" spans="1:14" x14ac:dyDescent="0.3">
      <c r="A409" s="36" t="s">
        <v>37</v>
      </c>
      <c r="B409" s="13">
        <v>109</v>
      </c>
      <c r="C409" s="48" t="str">
        <f>HYPERLINK("https://uscode.house.gov/statutes/pl/109/226.pdf", "P.L. 109-226")</f>
        <v>P.L. 109-226</v>
      </c>
      <c r="D409" s="3" t="s">
        <v>849</v>
      </c>
      <c r="E409" s="3" t="s">
        <v>850</v>
      </c>
      <c r="F409" s="3" t="s">
        <v>851</v>
      </c>
      <c r="G409" s="48" t="str">
        <f>HYPERLINK("https://uscode.house.gov/view.xhtml?req=granuleid:USC-prelim-title16-section3503&amp;num=0&amp;edition=prelim", "16 U.S.C. 3503(note)")</f>
        <v>16 U.S.C. 3503(note)</v>
      </c>
      <c r="H409" s="46">
        <v>40451</v>
      </c>
      <c r="I409" s="13">
        <v>2010</v>
      </c>
      <c r="J409" s="47">
        <v>1000000</v>
      </c>
      <c r="K409" s="16" t="s">
        <v>62</v>
      </c>
      <c r="L409" s="3" t="s">
        <v>47</v>
      </c>
      <c r="M409" s="3" t="s">
        <v>67</v>
      </c>
      <c r="N409" s="3" t="s">
        <v>49</v>
      </c>
    </row>
    <row r="410" spans="1:14" x14ac:dyDescent="0.3">
      <c r="A410" s="36" t="s">
        <v>37</v>
      </c>
      <c r="B410" s="13">
        <v>109</v>
      </c>
      <c r="C410" s="48" t="str">
        <f>HYPERLINK("https://uscode.house.gov/statutes/pl/109/226.pdf", "P.L. 109-226")</f>
        <v>P.L. 109-226</v>
      </c>
      <c r="D410" s="3" t="s">
        <v>849</v>
      </c>
      <c r="E410" s="3" t="s">
        <v>560</v>
      </c>
      <c r="F410" s="3" t="s">
        <v>852</v>
      </c>
      <c r="G410" s="48" t="str">
        <f>HYPERLINK("https://uscode.house.gov/view.xhtml?req=granuleid:USC-prelim-title16-section3510&amp;num=0&amp;edition=prelim", "16 U.S.C. 3510")</f>
        <v>16 U.S.C. 3510</v>
      </c>
      <c r="H410" s="46">
        <v>40451</v>
      </c>
      <c r="I410" s="13">
        <v>2010</v>
      </c>
      <c r="J410" s="47">
        <v>2000000</v>
      </c>
      <c r="K410" s="16" t="s">
        <v>62</v>
      </c>
      <c r="L410" s="3" t="s">
        <v>47</v>
      </c>
      <c r="M410" s="3" t="s">
        <v>67</v>
      </c>
      <c r="N410" s="3" t="s">
        <v>49</v>
      </c>
    </row>
    <row r="411" spans="1:14" x14ac:dyDescent="0.3">
      <c r="A411" s="36" t="s">
        <v>37</v>
      </c>
      <c r="B411" s="13">
        <v>109</v>
      </c>
      <c r="C411" s="48" t="str">
        <f t="shared" ref="C411:C425" si="14">HYPERLINK("https://uscode.house.gov/statutes/pl/109/248.pdf", "P.L. 109-248")</f>
        <v>P.L. 109-248</v>
      </c>
      <c r="D411" s="3" t="s">
        <v>853</v>
      </c>
      <c r="E411" s="3" t="s">
        <v>854</v>
      </c>
      <c r="F411" s="3" t="s">
        <v>855</v>
      </c>
      <c r="G411" s="48" t="str">
        <f>HYPERLINK("https://uscode.house.gov/view.xhtml?req=granuleid:USC-prelim-title34-section20928&amp;num=0&amp;edition=prelim", "34 U.S.C. 20928")</f>
        <v>34 U.S.C. 20928</v>
      </c>
      <c r="H411" s="46">
        <v>40086</v>
      </c>
      <c r="I411" s="13">
        <v>2009</v>
      </c>
      <c r="J411" s="16" t="s">
        <v>12</v>
      </c>
      <c r="K411" s="47">
        <v>1000000</v>
      </c>
      <c r="L411" s="3" t="s">
        <v>41</v>
      </c>
      <c r="M411" s="3" t="s">
        <v>42</v>
      </c>
      <c r="N411" s="3" t="s">
        <v>43</v>
      </c>
    </row>
    <row r="412" spans="1:14" x14ac:dyDescent="0.3">
      <c r="A412" s="36" t="s">
        <v>37</v>
      </c>
      <c r="B412" s="13">
        <v>109</v>
      </c>
      <c r="C412" s="48" t="str">
        <f t="shared" si="14"/>
        <v>P.L. 109-248</v>
      </c>
      <c r="D412" s="3" t="s">
        <v>853</v>
      </c>
      <c r="E412" s="3" t="s">
        <v>856</v>
      </c>
      <c r="F412" s="3" t="s">
        <v>857</v>
      </c>
      <c r="G412" s="49"/>
      <c r="H412" s="46">
        <v>41182</v>
      </c>
      <c r="I412" s="13">
        <v>2012</v>
      </c>
      <c r="J412" s="16" t="s">
        <v>12</v>
      </c>
      <c r="K412" s="47">
        <v>105000000</v>
      </c>
      <c r="L412" s="3" t="s">
        <v>41</v>
      </c>
      <c r="M412" s="3" t="s">
        <v>42</v>
      </c>
      <c r="N412" s="3" t="s">
        <v>43</v>
      </c>
    </row>
    <row r="413" spans="1:14" x14ac:dyDescent="0.3">
      <c r="A413" s="36" t="s">
        <v>37</v>
      </c>
      <c r="B413" s="13">
        <v>109</v>
      </c>
      <c r="C413" s="48" t="str">
        <f t="shared" si="14"/>
        <v>P.L. 109-248</v>
      </c>
      <c r="D413" s="3" t="s">
        <v>853</v>
      </c>
      <c r="E413" s="3" t="s">
        <v>138</v>
      </c>
      <c r="F413" s="3" t="s">
        <v>858</v>
      </c>
      <c r="G413" s="49"/>
      <c r="H413" s="46">
        <v>40451</v>
      </c>
      <c r="I413" s="13">
        <v>2010</v>
      </c>
      <c r="J413" s="47">
        <v>10000000</v>
      </c>
      <c r="K413" s="16" t="s">
        <v>62</v>
      </c>
      <c r="L413" s="3" t="s">
        <v>41</v>
      </c>
      <c r="M413" s="3" t="s">
        <v>42</v>
      </c>
      <c r="N413" s="3" t="s">
        <v>43</v>
      </c>
    </row>
    <row r="414" spans="1:14" x14ac:dyDescent="0.3">
      <c r="A414" s="36" t="s">
        <v>37</v>
      </c>
      <c r="B414" s="13">
        <v>109</v>
      </c>
      <c r="C414" s="48" t="str">
        <f t="shared" si="14"/>
        <v>P.L. 109-248</v>
      </c>
      <c r="D414" s="3" t="s">
        <v>853</v>
      </c>
      <c r="E414" s="3" t="s">
        <v>859</v>
      </c>
      <c r="F414" s="3" t="s">
        <v>860</v>
      </c>
      <c r="G414" s="49"/>
      <c r="H414" s="46">
        <v>40816</v>
      </c>
      <c r="I414" s="13">
        <v>2011</v>
      </c>
      <c r="J414" s="47">
        <v>15000000</v>
      </c>
      <c r="K414" s="47">
        <v>107000000</v>
      </c>
      <c r="L414" s="3" t="s">
        <v>41</v>
      </c>
      <c r="M414" s="3" t="s">
        <v>42</v>
      </c>
      <c r="N414" s="3" t="s">
        <v>43</v>
      </c>
    </row>
    <row r="415" spans="1:14" x14ac:dyDescent="0.3">
      <c r="A415" s="36" t="s">
        <v>37</v>
      </c>
      <c r="B415" s="13">
        <v>109</v>
      </c>
      <c r="C415" s="48" t="str">
        <f t="shared" si="14"/>
        <v>P.L. 109-248</v>
      </c>
      <c r="D415" s="3" t="s">
        <v>853</v>
      </c>
      <c r="E415" s="3" t="s">
        <v>861</v>
      </c>
      <c r="F415" s="3" t="s">
        <v>862</v>
      </c>
      <c r="G415" s="48" t="str">
        <f>HYPERLINK("https://uscode.house.gov/view.xhtml?req=granuleid:USC-prelim-title34-section11313&amp;num=0&amp;edition=prelim", "34 U.S.C. 11313(note)")</f>
        <v>34 U.S.C. 11313(note)</v>
      </c>
      <c r="H415" s="46">
        <v>40451</v>
      </c>
      <c r="I415" s="13">
        <v>2010</v>
      </c>
      <c r="J415" s="47">
        <v>16000000</v>
      </c>
      <c r="K415" s="47">
        <v>1117000</v>
      </c>
      <c r="L415" s="3" t="s">
        <v>41</v>
      </c>
      <c r="M415" s="3" t="s">
        <v>42</v>
      </c>
      <c r="N415" s="3" t="s">
        <v>43</v>
      </c>
    </row>
    <row r="416" spans="1:14" x14ac:dyDescent="0.3">
      <c r="A416" s="36" t="s">
        <v>37</v>
      </c>
      <c r="B416" s="13">
        <v>109</v>
      </c>
      <c r="C416" s="48" t="str">
        <f t="shared" si="14"/>
        <v>P.L. 109-248</v>
      </c>
      <c r="D416" s="3" t="s">
        <v>853</v>
      </c>
      <c r="E416" s="3" t="s">
        <v>863</v>
      </c>
      <c r="F416" s="3" t="s">
        <v>864</v>
      </c>
      <c r="G416" s="49"/>
      <c r="H416" s="46">
        <v>40086</v>
      </c>
      <c r="I416" s="13">
        <v>2009</v>
      </c>
      <c r="J416" s="47">
        <v>5000000</v>
      </c>
      <c r="K416" s="16" t="s">
        <v>62</v>
      </c>
      <c r="L416" s="3" t="s">
        <v>41</v>
      </c>
      <c r="M416" s="3" t="s">
        <v>42</v>
      </c>
      <c r="N416" s="3" t="s">
        <v>43</v>
      </c>
    </row>
    <row r="417" spans="1:14" x14ac:dyDescent="0.3">
      <c r="A417" s="36" t="s">
        <v>37</v>
      </c>
      <c r="B417" s="13">
        <v>109</v>
      </c>
      <c r="C417" s="48" t="str">
        <f t="shared" si="14"/>
        <v>P.L. 109-248</v>
      </c>
      <c r="D417" s="3" t="s">
        <v>853</v>
      </c>
      <c r="E417" s="3" t="s">
        <v>865</v>
      </c>
      <c r="F417" s="3" t="s">
        <v>866</v>
      </c>
      <c r="G417" s="48" t="str">
        <f>HYPERLINK("https://uscode.house.gov/view.xhtml?req=granuleid:USC-prelim-title42-section3797ee&amp;num=0&amp;edition=prelim", "42 U.S.C. 3797ee")</f>
        <v>42 U.S.C. 3797ee</v>
      </c>
      <c r="H417" s="46">
        <v>40086</v>
      </c>
      <c r="I417" s="13">
        <v>2009</v>
      </c>
      <c r="J417" s="47">
        <v>10000000</v>
      </c>
      <c r="K417" s="16" t="s">
        <v>62</v>
      </c>
      <c r="L417" s="3" t="s">
        <v>41</v>
      </c>
      <c r="M417" s="3" t="s">
        <v>42</v>
      </c>
      <c r="N417" s="3" t="s">
        <v>43</v>
      </c>
    </row>
    <row r="418" spans="1:14" x14ac:dyDescent="0.3">
      <c r="A418" s="36" t="s">
        <v>37</v>
      </c>
      <c r="B418" s="13">
        <v>109</v>
      </c>
      <c r="C418" s="48" t="str">
        <f t="shared" si="14"/>
        <v>P.L. 109-248</v>
      </c>
      <c r="D418" s="3" t="s">
        <v>853</v>
      </c>
      <c r="E418" s="3" t="s">
        <v>867</v>
      </c>
      <c r="F418" s="3" t="s">
        <v>868</v>
      </c>
      <c r="G418" s="49"/>
      <c r="H418" s="46">
        <v>40816</v>
      </c>
      <c r="I418" s="13">
        <v>2011</v>
      </c>
      <c r="J418" s="16" t="s">
        <v>12</v>
      </c>
      <c r="K418" s="47">
        <v>130000000</v>
      </c>
      <c r="L418" s="3" t="s">
        <v>41</v>
      </c>
      <c r="M418" s="3" t="s">
        <v>42</v>
      </c>
      <c r="N418" s="3" t="s">
        <v>43</v>
      </c>
    </row>
    <row r="419" spans="1:14" x14ac:dyDescent="0.3">
      <c r="A419" s="36" t="s">
        <v>37</v>
      </c>
      <c r="B419" s="13">
        <v>109</v>
      </c>
      <c r="C419" s="48" t="str">
        <f t="shared" si="14"/>
        <v>P.L. 109-248</v>
      </c>
      <c r="D419" s="3" t="s">
        <v>853</v>
      </c>
      <c r="E419" s="3" t="s">
        <v>869</v>
      </c>
      <c r="F419" s="3" t="s">
        <v>870</v>
      </c>
      <c r="G419" s="49"/>
      <c r="H419" s="46">
        <v>40086</v>
      </c>
      <c r="I419" s="13">
        <v>2009</v>
      </c>
      <c r="J419" s="16" t="s">
        <v>12</v>
      </c>
      <c r="K419" s="47">
        <v>20000000</v>
      </c>
      <c r="L419" s="3" t="s">
        <v>41</v>
      </c>
      <c r="M419" s="3" t="s">
        <v>42</v>
      </c>
      <c r="N419" s="3" t="s">
        <v>43</v>
      </c>
    </row>
    <row r="420" spans="1:14" x14ac:dyDescent="0.3">
      <c r="A420" s="36" t="s">
        <v>37</v>
      </c>
      <c r="B420" s="13">
        <v>109</v>
      </c>
      <c r="C420" s="48" t="str">
        <f t="shared" si="14"/>
        <v>P.L. 109-248</v>
      </c>
      <c r="D420" s="3" t="s">
        <v>853</v>
      </c>
      <c r="E420" s="3" t="s">
        <v>871</v>
      </c>
      <c r="F420" s="3" t="s">
        <v>872</v>
      </c>
      <c r="G420" s="49"/>
      <c r="H420" s="46">
        <v>40451</v>
      </c>
      <c r="I420" s="13">
        <v>2010</v>
      </c>
      <c r="J420" s="47">
        <v>10000000</v>
      </c>
      <c r="K420" s="16" t="s">
        <v>62</v>
      </c>
      <c r="L420" s="3" t="s">
        <v>41</v>
      </c>
      <c r="M420" s="3" t="s">
        <v>42</v>
      </c>
      <c r="N420" s="3" t="s">
        <v>43</v>
      </c>
    </row>
    <row r="421" spans="1:14" x14ac:dyDescent="0.3">
      <c r="A421" s="36" t="s">
        <v>37</v>
      </c>
      <c r="B421" s="13">
        <v>109</v>
      </c>
      <c r="C421" s="48" t="str">
        <f t="shared" si="14"/>
        <v>P.L. 109-248</v>
      </c>
      <c r="D421" s="3" t="s">
        <v>853</v>
      </c>
      <c r="E421" s="3" t="s">
        <v>873</v>
      </c>
      <c r="F421" s="3" t="s">
        <v>874</v>
      </c>
      <c r="G421" s="49"/>
      <c r="H421" s="46">
        <v>40816</v>
      </c>
      <c r="I421" s="13">
        <v>2011</v>
      </c>
      <c r="J421" s="47">
        <v>20000000</v>
      </c>
      <c r="K421" s="16" t="s">
        <v>62</v>
      </c>
      <c r="L421" s="3" t="s">
        <v>41</v>
      </c>
      <c r="M421" s="3" t="s">
        <v>42</v>
      </c>
      <c r="N421" s="3" t="s">
        <v>43</v>
      </c>
    </row>
    <row r="422" spans="1:14" x14ac:dyDescent="0.3">
      <c r="A422" s="36" t="s">
        <v>37</v>
      </c>
      <c r="B422" s="13">
        <v>109</v>
      </c>
      <c r="C422" s="48" t="str">
        <f t="shared" si="14"/>
        <v>P.L. 109-248</v>
      </c>
      <c r="D422" s="3" t="s">
        <v>853</v>
      </c>
      <c r="E422" s="3" t="s">
        <v>875</v>
      </c>
      <c r="F422" s="3" t="s">
        <v>876</v>
      </c>
      <c r="G422" s="49"/>
      <c r="H422" s="46">
        <v>40816</v>
      </c>
      <c r="I422" s="13">
        <v>2011</v>
      </c>
      <c r="J422" s="16" t="s">
        <v>12</v>
      </c>
      <c r="K422" s="16" t="s">
        <v>62</v>
      </c>
      <c r="L422" s="3" t="s">
        <v>41</v>
      </c>
      <c r="M422" s="3" t="s">
        <v>42</v>
      </c>
      <c r="N422" s="3" t="s">
        <v>43</v>
      </c>
    </row>
    <row r="423" spans="1:14" x14ac:dyDescent="0.3">
      <c r="A423" s="36" t="s">
        <v>37</v>
      </c>
      <c r="B423" s="13">
        <v>109</v>
      </c>
      <c r="C423" s="48" t="str">
        <f t="shared" si="14"/>
        <v>P.L. 109-248</v>
      </c>
      <c r="D423" s="3" t="s">
        <v>853</v>
      </c>
      <c r="E423" s="3" t="s">
        <v>877</v>
      </c>
      <c r="F423" s="3" t="s">
        <v>878</v>
      </c>
      <c r="G423" s="49"/>
      <c r="H423" s="46">
        <v>40086</v>
      </c>
      <c r="I423" s="13">
        <v>2009</v>
      </c>
      <c r="J423" s="47">
        <v>8000000</v>
      </c>
      <c r="K423" s="16" t="s">
        <v>62</v>
      </c>
      <c r="L423" s="3" t="s">
        <v>41</v>
      </c>
      <c r="M423" s="3" t="s">
        <v>42</v>
      </c>
      <c r="N423" s="3" t="s">
        <v>43</v>
      </c>
    </row>
    <row r="424" spans="1:14" x14ac:dyDescent="0.3">
      <c r="A424" s="36" t="s">
        <v>37</v>
      </c>
      <c r="B424" s="13">
        <v>109</v>
      </c>
      <c r="C424" s="48" t="str">
        <f t="shared" si="14"/>
        <v>P.L. 109-248</v>
      </c>
      <c r="D424" s="3" t="s">
        <v>853</v>
      </c>
      <c r="E424" s="3" t="s">
        <v>879</v>
      </c>
      <c r="F424" s="3" t="s">
        <v>880</v>
      </c>
      <c r="G424" s="49"/>
      <c r="H424" s="46">
        <v>44104</v>
      </c>
      <c r="I424" s="13">
        <v>2020</v>
      </c>
      <c r="J424" s="16" t="s">
        <v>12</v>
      </c>
      <c r="K424" s="16" t="s">
        <v>62</v>
      </c>
      <c r="L424" s="3" t="s">
        <v>41</v>
      </c>
      <c r="M424" s="3" t="s">
        <v>42</v>
      </c>
      <c r="N424" s="3" t="s">
        <v>43</v>
      </c>
    </row>
    <row r="425" spans="1:14" x14ac:dyDescent="0.3">
      <c r="A425" s="36" t="s">
        <v>37</v>
      </c>
      <c r="B425" s="13">
        <v>109</v>
      </c>
      <c r="C425" s="48" t="str">
        <f t="shared" si="14"/>
        <v>P.L. 109-248</v>
      </c>
      <c r="D425" s="3" t="s">
        <v>853</v>
      </c>
      <c r="E425" s="3" t="s">
        <v>881</v>
      </c>
      <c r="F425" s="3" t="s">
        <v>882</v>
      </c>
      <c r="G425" s="48" t="str">
        <f>HYPERLINK("https://uscode.house.gov/view.xhtml?req=granuleid:USC-prelim-title42-section16941&amp;num=0&amp;edition=prelim", "42 U.S.C. 16941")</f>
        <v>42 U.S.C. 16941</v>
      </c>
      <c r="H425" s="46">
        <v>44104</v>
      </c>
      <c r="I425" s="13">
        <v>2020</v>
      </c>
      <c r="J425" s="16" t="s">
        <v>12</v>
      </c>
      <c r="K425" s="16" t="s">
        <v>62</v>
      </c>
      <c r="L425" s="3" t="s">
        <v>41</v>
      </c>
      <c r="M425" s="3" t="s">
        <v>42</v>
      </c>
      <c r="N425" s="3" t="s">
        <v>43</v>
      </c>
    </row>
    <row r="426" spans="1:14" x14ac:dyDescent="0.3">
      <c r="A426" s="36" t="s">
        <v>37</v>
      </c>
      <c r="B426" s="13">
        <v>109</v>
      </c>
      <c r="C426" s="48" t="str">
        <f>HYPERLINK("https://uscode.house.gov/statutes/pl/109/293.pdf", "P.L. 109-293")</f>
        <v>P.L. 109-293</v>
      </c>
      <c r="D426" s="3" t="s">
        <v>883</v>
      </c>
      <c r="E426" s="3" t="s">
        <v>95</v>
      </c>
      <c r="F426" s="3" t="s">
        <v>884</v>
      </c>
      <c r="G426" s="48" t="str">
        <f>HYPERLINK("https://uscode.house.gov/view.xhtml?req=granuleid:USC-prelim-title22-section2151&amp;num=0&amp;edition=prelim", "22 U.S.C. 2151(note)")</f>
        <v>22 U.S.C. 2151(note)</v>
      </c>
      <c r="H426" s="46">
        <v>40908</v>
      </c>
      <c r="I426" s="13">
        <v>2012</v>
      </c>
      <c r="J426" s="16" t="s">
        <v>12</v>
      </c>
      <c r="K426" s="16" t="s">
        <v>62</v>
      </c>
      <c r="L426" s="3" t="s">
        <v>80</v>
      </c>
      <c r="M426" s="3" t="s">
        <v>81</v>
      </c>
      <c r="N426" s="3" t="s">
        <v>82</v>
      </c>
    </row>
    <row r="427" spans="1:14" x14ac:dyDescent="0.3">
      <c r="A427" s="36" t="s">
        <v>37</v>
      </c>
      <c r="B427" s="13">
        <v>109</v>
      </c>
      <c r="C427" s="48" t="str">
        <f>HYPERLINK("https://uscode.house.gov/statutes/pl/109/294.pdf", "P.L. 109-294")</f>
        <v>P.L. 109-294</v>
      </c>
      <c r="D427" s="3" t="s">
        <v>885</v>
      </c>
      <c r="E427" s="3" t="s">
        <v>560</v>
      </c>
      <c r="F427" s="3" t="s">
        <v>886</v>
      </c>
      <c r="G427" s="48" t="str">
        <f>HYPERLINK("https://uscode.house.gov/view.xhtml?req=granuleid:USC-prelim-title16-section3774&amp;num=0&amp;edition=prelim", "16 U.S.C. 3774")</f>
        <v>16 U.S.C. 3774</v>
      </c>
      <c r="H427" s="46">
        <v>40816</v>
      </c>
      <c r="I427" s="13">
        <v>2011</v>
      </c>
      <c r="J427" s="47">
        <v>75000000</v>
      </c>
      <c r="K427" s="47">
        <v>60267000</v>
      </c>
      <c r="L427" s="3" t="s">
        <v>47</v>
      </c>
      <c r="M427" s="3" t="s">
        <v>67</v>
      </c>
      <c r="N427" s="3" t="s">
        <v>49</v>
      </c>
    </row>
    <row r="428" spans="1:14" x14ac:dyDescent="0.3">
      <c r="A428" s="36" t="s">
        <v>37</v>
      </c>
      <c r="B428" s="13">
        <v>109</v>
      </c>
      <c r="C428" s="48" t="str">
        <f>HYPERLINK("https://uscode.house.gov/statutes/pl/109/295.pdf", "P.L. 109-295")</f>
        <v>P.L. 109-295</v>
      </c>
      <c r="D428" s="3" t="s">
        <v>887</v>
      </c>
      <c r="E428" s="3" t="s">
        <v>888</v>
      </c>
      <c r="F428" s="3" t="s">
        <v>889</v>
      </c>
      <c r="G428" s="48" t="str">
        <f>HYPERLINK("https://uscode.house.gov/view.xhtml?req=granuleid:USC-prelim-title6-section722&amp;num=0&amp;edition=prelim", "6 U.S.C. 722")</f>
        <v>6 U.S.C. 722</v>
      </c>
      <c r="H428" s="46">
        <v>39721</v>
      </c>
      <c r="I428" s="13">
        <v>2008</v>
      </c>
      <c r="J428" s="47">
        <v>45000000</v>
      </c>
      <c r="K428" s="47">
        <v>37832000</v>
      </c>
      <c r="L428" s="3" t="s">
        <v>109</v>
      </c>
      <c r="M428" s="3" t="s">
        <v>230</v>
      </c>
      <c r="N428" s="3" t="s">
        <v>122</v>
      </c>
    </row>
    <row r="429" spans="1:14" x14ac:dyDescent="0.3">
      <c r="A429" s="36" t="s">
        <v>37</v>
      </c>
      <c r="B429" s="13">
        <v>109</v>
      </c>
      <c r="C429" s="48" t="str">
        <f>HYPERLINK("https://uscode.house.gov/statutes/pl/109/295.pdf", "P.L. 109-295")</f>
        <v>P.L. 109-295</v>
      </c>
      <c r="D429" s="3" t="s">
        <v>887</v>
      </c>
      <c r="E429" s="3" t="s">
        <v>890</v>
      </c>
      <c r="F429" s="3" t="s">
        <v>891</v>
      </c>
      <c r="G429" s="48" t="str">
        <f>HYPERLINK("https://uscode.house.gov/view.xhtml?req=granuleid:USC-prelim-title6-section723&amp;num=0&amp;edition=prelim", "6 U.S.C. 723")</f>
        <v>6 U.S.C. 723</v>
      </c>
      <c r="H429" s="46">
        <v>39721</v>
      </c>
      <c r="I429" s="13">
        <v>2008</v>
      </c>
      <c r="J429" s="47">
        <v>66000000</v>
      </c>
      <c r="K429" s="16" t="s">
        <v>62</v>
      </c>
      <c r="L429" s="3" t="s">
        <v>109</v>
      </c>
      <c r="M429" s="3" t="s">
        <v>230</v>
      </c>
      <c r="N429" s="3" t="s">
        <v>122</v>
      </c>
    </row>
    <row r="430" spans="1:14" x14ac:dyDescent="0.3">
      <c r="A430" s="36" t="s">
        <v>37</v>
      </c>
      <c r="B430" s="13">
        <v>109</v>
      </c>
      <c r="C430" s="48" t="str">
        <f>HYPERLINK("https://uscode.house.gov/statutes/pl/109/295.pdf", "P.L. 109-295")</f>
        <v>P.L. 109-295</v>
      </c>
      <c r="D430" s="3" t="s">
        <v>887</v>
      </c>
      <c r="E430" s="3" t="s">
        <v>892</v>
      </c>
      <c r="F430" s="3" t="s">
        <v>893</v>
      </c>
      <c r="G430" s="48" t="str">
        <f>HYPERLINK("https://uscode.house.gov/view.xhtml?req=granuleid:USC-prelim-title6-section811&amp;num=0&amp;edition=prelim", "6 U.S.C. 811")</f>
        <v>6 U.S.C. 811</v>
      </c>
      <c r="H430" s="46">
        <v>40451</v>
      </c>
      <c r="I430" s="13">
        <v>2010</v>
      </c>
      <c r="J430" s="47">
        <v>375342000</v>
      </c>
      <c r="K430" s="47">
        <v>1341848000</v>
      </c>
      <c r="L430" s="3" t="s">
        <v>109</v>
      </c>
      <c r="M430" s="3" t="s">
        <v>230</v>
      </c>
      <c r="N430" s="3" t="s">
        <v>122</v>
      </c>
    </row>
    <row r="431" spans="1:14" x14ac:dyDescent="0.3">
      <c r="A431" s="36" t="s">
        <v>37</v>
      </c>
      <c r="B431" s="13">
        <v>109</v>
      </c>
      <c r="C431" s="48" t="str">
        <f>HYPERLINK("https://uscode.house.gov/statutes/pl/109/338.pdf", "P.L. 109-338")</f>
        <v>P.L. 109-338</v>
      </c>
      <c r="D431" s="3" t="s">
        <v>894</v>
      </c>
      <c r="F431" s="3" t="s">
        <v>895</v>
      </c>
      <c r="G431" s="48" t="str">
        <f>HYPERLINK("https://uscode.house.gov/view.xhtml?req=granuleid:USC-prelim-title54-section320101&amp;num=0&amp;edition=prelim", "54 U.S.C. 320101(note)")</f>
        <v>54 U.S.C. 320101(note)</v>
      </c>
      <c r="H431" s="46">
        <v>42643</v>
      </c>
      <c r="I431" s="13">
        <v>2016</v>
      </c>
      <c r="J431" s="16" t="s">
        <v>12</v>
      </c>
      <c r="K431" s="16" t="s">
        <v>62</v>
      </c>
      <c r="L431" s="3" t="s">
        <v>47</v>
      </c>
      <c r="M431" s="3" t="s">
        <v>48</v>
      </c>
      <c r="N431" s="3" t="s">
        <v>49</v>
      </c>
    </row>
    <row r="432" spans="1:14" x14ac:dyDescent="0.3">
      <c r="A432" s="36" t="s">
        <v>37</v>
      </c>
      <c r="B432" s="13">
        <v>109</v>
      </c>
      <c r="C432" s="48" t="str">
        <f>HYPERLINK("https://uscode.house.gov/statutes/pl/109/347.pdf", "P.L. 109-347")</f>
        <v>P.L. 109-347</v>
      </c>
      <c r="D432" s="3" t="s">
        <v>896</v>
      </c>
      <c r="E432" s="3" t="s">
        <v>897</v>
      </c>
      <c r="F432" s="3" t="s">
        <v>898</v>
      </c>
      <c r="G432" s="48" t="str">
        <f>HYPERLINK("https://uscode.house.gov/view.xhtml?req=granuleid:USC-prelim-title6-section973&amp;num=0&amp;edition=prelim", "6 U.S.C. 973")</f>
        <v>6 U.S.C. 973</v>
      </c>
      <c r="H432" s="46">
        <v>40451</v>
      </c>
      <c r="I432" s="13">
        <v>2010</v>
      </c>
      <c r="J432" s="47">
        <v>37485000</v>
      </c>
      <c r="K432" s="16" t="s">
        <v>62</v>
      </c>
      <c r="L432" s="3" t="s">
        <v>642</v>
      </c>
      <c r="M432" s="3" t="s">
        <v>148</v>
      </c>
      <c r="N432" s="3" t="s">
        <v>122</v>
      </c>
    </row>
    <row r="433" spans="1:14" x14ac:dyDescent="0.3">
      <c r="A433" s="36" t="s">
        <v>37</v>
      </c>
      <c r="B433" s="13">
        <v>109</v>
      </c>
      <c r="C433" s="48" t="str">
        <f>HYPERLINK("https://uscode.house.gov/statutes/pl/109/347.pdf", "P.L. 109-347")</f>
        <v>P.L. 109-347</v>
      </c>
      <c r="D433" s="3" t="s">
        <v>896</v>
      </c>
      <c r="E433" s="3" t="s">
        <v>899</v>
      </c>
      <c r="F433" s="3" t="s">
        <v>900</v>
      </c>
      <c r="G433" s="48" t="str">
        <f>HYPERLINK("https://uscode.house.gov/view.xhtml?req=granuleid:USC-prelim-title6-section945&amp;num=0&amp;edition=prelim", "6 U.S.C. 945")</f>
        <v>6 U.S.C. 945</v>
      </c>
      <c r="H433" s="46">
        <v>40451</v>
      </c>
      <c r="I433" s="13">
        <v>2010</v>
      </c>
      <c r="J433" s="47">
        <v>153300000</v>
      </c>
      <c r="K433" s="16" t="s">
        <v>62</v>
      </c>
      <c r="L433" s="3" t="s">
        <v>642</v>
      </c>
      <c r="M433" s="3" t="s">
        <v>148</v>
      </c>
      <c r="N433" s="3" t="s">
        <v>122</v>
      </c>
    </row>
    <row r="434" spans="1:14" x14ac:dyDescent="0.3">
      <c r="A434" s="36" t="s">
        <v>37</v>
      </c>
      <c r="B434" s="13">
        <v>109</v>
      </c>
      <c r="C434" s="48" t="str">
        <f>HYPERLINK("https://uscode.house.gov/statutes/pl/109/347.pdf", "P.L. 109-347")</f>
        <v>P.L. 109-347</v>
      </c>
      <c r="D434" s="3" t="s">
        <v>896</v>
      </c>
      <c r="E434" s="3" t="s">
        <v>901</v>
      </c>
      <c r="F434" s="3" t="s">
        <v>902</v>
      </c>
      <c r="G434" s="48" t="str">
        <f>HYPERLINK("https://uscode.house.gov/view.xhtml?req=granuleid:USC-prelim-title6-section973&amp;num=0&amp;edition=prelim", "6 U.S.C. 973")</f>
        <v>6 U.S.C. 973</v>
      </c>
      <c r="H434" s="46">
        <v>40451</v>
      </c>
      <c r="I434" s="13">
        <v>2010</v>
      </c>
      <c r="J434" s="47">
        <v>75600000</v>
      </c>
      <c r="K434" s="16" t="s">
        <v>62</v>
      </c>
      <c r="L434" s="3" t="s">
        <v>642</v>
      </c>
      <c r="M434" s="3" t="s">
        <v>148</v>
      </c>
      <c r="N434" s="3" t="s">
        <v>122</v>
      </c>
    </row>
    <row r="435" spans="1:14" x14ac:dyDescent="0.3">
      <c r="A435" s="36" t="s">
        <v>37</v>
      </c>
      <c r="B435" s="13">
        <v>109</v>
      </c>
      <c r="C435" s="48" t="str">
        <f>HYPERLINK("https://uscode.house.gov/statutes/pl/109/347.pdf", "P.L. 109-347")</f>
        <v>P.L. 109-347</v>
      </c>
      <c r="D435" s="3" t="s">
        <v>896</v>
      </c>
      <c r="E435" s="3" t="s">
        <v>901</v>
      </c>
      <c r="F435" s="3" t="s">
        <v>903</v>
      </c>
      <c r="G435" s="48" t="str">
        <f>HYPERLINK("https://uscode.house.gov/view.xhtml?req=granuleid:USC-prelim-title6-section973&amp;num=0&amp;edition=prelim", "6 U.S.C. 973")</f>
        <v>6 U.S.C. 973</v>
      </c>
      <c r="H435" s="46">
        <v>41182</v>
      </c>
      <c r="I435" s="13">
        <v>2012</v>
      </c>
      <c r="J435" s="47">
        <v>21000000</v>
      </c>
      <c r="K435" s="16" t="s">
        <v>62</v>
      </c>
      <c r="L435" s="3" t="s">
        <v>642</v>
      </c>
      <c r="M435" s="3" t="s">
        <v>148</v>
      </c>
      <c r="N435" s="3" t="s">
        <v>122</v>
      </c>
    </row>
    <row r="436" spans="1:14" x14ac:dyDescent="0.3">
      <c r="A436" s="36" t="s">
        <v>37</v>
      </c>
      <c r="B436" s="13">
        <v>109</v>
      </c>
      <c r="C436" s="48" t="str">
        <f>HYPERLINK("https://uscode.house.gov/statutes/pl/109/347.pdf", "P.L. 109-347")</f>
        <v>P.L. 109-347</v>
      </c>
      <c r="D436" s="3" t="s">
        <v>896</v>
      </c>
      <c r="E436" s="3" t="s">
        <v>904</v>
      </c>
      <c r="F436" s="3" t="s">
        <v>905</v>
      </c>
      <c r="G436" s="48" t="str">
        <f>HYPERLINK("https://uscode.house.gov/view.xhtml?req=granuleid:USC-prelim-title19-section2075&amp;num=0&amp;edition=prelim", "19 U.S.C. 2075(h)(3)")</f>
        <v>19 U.S.C. 2075(h)(3)</v>
      </c>
      <c r="H436" s="46">
        <v>41182</v>
      </c>
      <c r="I436" s="13">
        <v>2012</v>
      </c>
      <c r="J436" s="47">
        <v>217000000</v>
      </c>
      <c r="K436" s="16" t="s">
        <v>62</v>
      </c>
      <c r="L436" s="3" t="s">
        <v>642</v>
      </c>
      <c r="M436" s="3" t="s">
        <v>148</v>
      </c>
      <c r="N436" s="3" t="s">
        <v>122</v>
      </c>
    </row>
    <row r="437" spans="1:14" x14ac:dyDescent="0.3">
      <c r="A437" s="36" t="s">
        <v>37</v>
      </c>
      <c r="B437" s="13">
        <v>109</v>
      </c>
      <c r="C437" s="48" t="str">
        <f>HYPERLINK("https://uscode.house.gov/statutes/pl/109/363.pdf", "P.L. 109-363")</f>
        <v>P.L. 109-363</v>
      </c>
      <c r="D437" s="3" t="s">
        <v>906</v>
      </c>
      <c r="E437" s="3" t="s">
        <v>173</v>
      </c>
      <c r="F437" s="3" t="s">
        <v>907</v>
      </c>
      <c r="G437" s="49"/>
      <c r="H437" s="46">
        <v>40451</v>
      </c>
      <c r="I437" s="13">
        <v>2010</v>
      </c>
      <c r="J437" s="47">
        <v>5000000</v>
      </c>
      <c r="K437" s="16" t="s">
        <v>62</v>
      </c>
      <c r="L437" s="3" t="s">
        <v>47</v>
      </c>
      <c r="M437" s="3" t="s">
        <v>67</v>
      </c>
      <c r="N437" s="3" t="s">
        <v>43</v>
      </c>
    </row>
    <row r="438" spans="1:14" x14ac:dyDescent="0.3">
      <c r="A438" s="36" t="s">
        <v>37</v>
      </c>
      <c r="B438" s="13">
        <v>109</v>
      </c>
      <c r="C438" s="48" t="str">
        <f>HYPERLINK("https://uscode.house.gov/statutes/pl/109/401.pdf", "P.L. 109-401")</f>
        <v>P.L. 109-401</v>
      </c>
      <c r="D438" s="3" t="s">
        <v>908</v>
      </c>
      <c r="E438" s="3" t="s">
        <v>909</v>
      </c>
      <c r="F438" s="3" t="s">
        <v>910</v>
      </c>
      <c r="G438" s="48" t="str">
        <f>HYPERLINK("https://uscode.house.gov/view.xhtml?req=granuleid:USC-prelim-title22-section8007&amp;num=0&amp;edition=prelim", "22 U.S.C. 8007(e)")</f>
        <v>22 U.S.C. 8007(e)</v>
      </c>
      <c r="H438" s="46">
        <v>40816</v>
      </c>
      <c r="I438" s="13">
        <v>2011</v>
      </c>
      <c r="J438" s="16" t="s">
        <v>12</v>
      </c>
      <c r="K438" s="16" t="s">
        <v>62</v>
      </c>
      <c r="L438" s="3" t="s">
        <v>80</v>
      </c>
      <c r="M438" s="3" t="s">
        <v>81</v>
      </c>
      <c r="N438" s="3" t="s">
        <v>82</v>
      </c>
    </row>
    <row r="439" spans="1:14" x14ac:dyDescent="0.3">
      <c r="A439" s="36" t="s">
        <v>37</v>
      </c>
      <c r="B439" s="13">
        <v>109</v>
      </c>
      <c r="C439" s="48" t="str">
        <f>HYPERLINK("https://uscode.house.gov/statutes/pl/109/446.pdf", "P.L. 109-446")</f>
        <v>P.L. 109-446</v>
      </c>
      <c r="D439" s="3" t="s">
        <v>911</v>
      </c>
      <c r="E439" s="3" t="s">
        <v>276</v>
      </c>
      <c r="F439" s="3" t="s">
        <v>912</v>
      </c>
      <c r="G439" s="48" t="str">
        <f>HYPERLINK("https://uscode.house.gov/view.xhtml?req=granuleid:USC-prelim-title22-section2378b&amp;num=0&amp;edition=prelim", "22 U.S.C. 2378b")</f>
        <v>22 U.S.C. 2378b</v>
      </c>
      <c r="H439" s="46">
        <v>39355</v>
      </c>
      <c r="I439" s="13">
        <v>2007</v>
      </c>
      <c r="J439" s="47">
        <v>20000000</v>
      </c>
      <c r="K439" s="16" t="s">
        <v>62</v>
      </c>
      <c r="L439" s="3" t="s">
        <v>80</v>
      </c>
      <c r="M439" s="3" t="s">
        <v>81</v>
      </c>
      <c r="N439" s="3" t="s">
        <v>82</v>
      </c>
    </row>
    <row r="440" spans="1:14" x14ac:dyDescent="0.3">
      <c r="A440" s="36" t="s">
        <v>37</v>
      </c>
      <c r="B440" s="13">
        <v>109</v>
      </c>
      <c r="C440" s="48" t="str">
        <f>HYPERLINK("https://uscode.house.gov/statutes/pl/109/448.pdf", "P.L. 109-448")</f>
        <v>P.L. 109-448</v>
      </c>
      <c r="D440" s="3" t="s">
        <v>913</v>
      </c>
      <c r="E440" s="3" t="s">
        <v>149</v>
      </c>
      <c r="F440" s="3" t="s">
        <v>914</v>
      </c>
      <c r="G440" s="48" t="str">
        <f>HYPERLINK("https://uscode.house.gov/view.xhtml?req=granuleid:USC-prelim-title42-section1962&amp;num=0&amp;edition=prelim", "42 U.S.C. 1962(note)")</f>
        <v>42 U.S.C. 1962(note)</v>
      </c>
      <c r="H440" s="46">
        <v>42643</v>
      </c>
      <c r="I440" s="13">
        <v>2016</v>
      </c>
      <c r="J440" s="16" t="s">
        <v>12</v>
      </c>
      <c r="K440" s="47">
        <v>1000000</v>
      </c>
      <c r="L440" s="3" t="s">
        <v>47</v>
      </c>
      <c r="M440" s="3" t="s">
        <v>48</v>
      </c>
      <c r="N440" s="3" t="s">
        <v>49</v>
      </c>
    </row>
    <row r="441" spans="1:14" x14ac:dyDescent="0.3">
      <c r="A441" s="36" t="s">
        <v>37</v>
      </c>
      <c r="B441" s="13">
        <v>109</v>
      </c>
      <c r="C441" s="48" t="str">
        <f>HYPERLINK("https://uscode.house.gov/statutes/pl/109/451.pdf", "P.L. 109-451")</f>
        <v>P.L. 109-451</v>
      </c>
      <c r="D441" s="3" t="s">
        <v>915</v>
      </c>
      <c r="F441" s="3" t="s">
        <v>916</v>
      </c>
      <c r="G441" s="49"/>
      <c r="H441" s="46">
        <v>42643</v>
      </c>
      <c r="I441" s="13">
        <v>2016</v>
      </c>
      <c r="J441" s="47">
        <v>15000000</v>
      </c>
      <c r="K441" s="16" t="s">
        <v>62</v>
      </c>
      <c r="L441" s="3" t="s">
        <v>47</v>
      </c>
      <c r="M441" s="3" t="s">
        <v>48</v>
      </c>
      <c r="N441" s="3" t="s">
        <v>58</v>
      </c>
    </row>
    <row r="442" spans="1:14" x14ac:dyDescent="0.3">
      <c r="A442" s="36" t="s">
        <v>37</v>
      </c>
      <c r="B442" s="13">
        <v>109</v>
      </c>
      <c r="C442" s="48" t="str">
        <f>HYPERLINK("https://uscode.house.gov/statutes/pl/109/461.pdf", "P.L. 109-461")</f>
        <v>P.L. 109-461</v>
      </c>
      <c r="D442" s="3" t="s">
        <v>917</v>
      </c>
      <c r="F442" s="3" t="s">
        <v>918</v>
      </c>
      <c r="G442" s="49"/>
      <c r="H442" s="46">
        <v>41182</v>
      </c>
      <c r="I442" s="13">
        <v>2012</v>
      </c>
      <c r="J442" s="47">
        <v>3500000</v>
      </c>
      <c r="K442" s="16" t="s">
        <v>62</v>
      </c>
      <c r="L442" s="3" t="s">
        <v>265</v>
      </c>
      <c r="M442" s="3" t="s">
        <v>266</v>
      </c>
      <c r="N442" s="3" t="s">
        <v>267</v>
      </c>
    </row>
    <row r="443" spans="1:14" x14ac:dyDescent="0.3">
      <c r="A443" s="36" t="s">
        <v>37</v>
      </c>
      <c r="B443" s="13">
        <v>109</v>
      </c>
      <c r="C443" s="48" t="str">
        <f>HYPERLINK("https://uscode.house.gov/statutes/pl/109/461.pdf", "P.L. 109-461")</f>
        <v>P.L. 109-461</v>
      </c>
      <c r="D443" s="3" t="s">
        <v>917</v>
      </c>
      <c r="F443" s="3" t="s">
        <v>919</v>
      </c>
      <c r="G443" s="48" t="str">
        <f>HYPERLINK("https://uscode.house.gov/view.xhtml?req=granuleid:USC-prelim-title38-section1712&amp;num=0&amp;edition=prelim", "38 U.S.C. 1712(a)")</f>
        <v>38 U.S.C. 1712(a)</v>
      </c>
      <c r="H443" s="46">
        <v>39355</v>
      </c>
      <c r="I443" s="13">
        <v>2007</v>
      </c>
      <c r="J443" s="47">
        <v>180000000</v>
      </c>
      <c r="K443" s="16" t="s">
        <v>62</v>
      </c>
      <c r="L443" s="3" t="s">
        <v>265</v>
      </c>
      <c r="M443" s="3" t="s">
        <v>266</v>
      </c>
      <c r="N443" s="3" t="s">
        <v>267</v>
      </c>
    </row>
    <row r="444" spans="1:14" x14ac:dyDescent="0.3">
      <c r="A444" s="36" t="s">
        <v>37</v>
      </c>
      <c r="B444" s="13">
        <v>109</v>
      </c>
      <c r="C444" s="48" t="str">
        <f>HYPERLINK("https://uscode.house.gov/statutes/pl/109/468.pdf", "P.L. 109-468")</f>
        <v>P.L. 109-468</v>
      </c>
      <c r="D444" s="3" t="s">
        <v>920</v>
      </c>
      <c r="E444" s="3" t="s">
        <v>296</v>
      </c>
      <c r="F444" s="3" t="s">
        <v>921</v>
      </c>
      <c r="G444" s="48" t="str">
        <f>HYPERLINK("https://uscode.house.gov/view.xhtml?req=granuleid:USC-prelim-title49-section6109&amp;num=0&amp;edition=prelim", "49 U.S.C. 6109")</f>
        <v>49 U.S.C. 6109</v>
      </c>
      <c r="H444" s="46">
        <v>39721</v>
      </c>
      <c r="I444" s="13">
        <v>2008</v>
      </c>
      <c r="J444" s="47">
        <v>1000000</v>
      </c>
      <c r="K444" s="16" t="s">
        <v>62</v>
      </c>
      <c r="L444" s="3" t="s">
        <v>109</v>
      </c>
      <c r="M444" s="3" t="s">
        <v>148</v>
      </c>
      <c r="N444" s="3" t="s">
        <v>158</v>
      </c>
    </row>
    <row r="445" spans="1:14" x14ac:dyDescent="0.3">
      <c r="A445" s="36" t="s">
        <v>37</v>
      </c>
      <c r="B445" s="13">
        <v>109</v>
      </c>
      <c r="C445" s="48" t="str">
        <f>HYPERLINK("https://uscode.house.gov/statutes/pl/109/468.pdf", "P.L. 109-468")</f>
        <v>P.L. 109-468</v>
      </c>
      <c r="D445" s="3" t="s">
        <v>920</v>
      </c>
      <c r="F445" s="3" t="s">
        <v>922</v>
      </c>
      <c r="G445" s="49"/>
      <c r="H445" s="46">
        <v>40451</v>
      </c>
      <c r="I445" s="13">
        <v>2010</v>
      </c>
      <c r="J445" s="16" t="s">
        <v>12</v>
      </c>
      <c r="K445" s="16" t="s">
        <v>62</v>
      </c>
      <c r="L445" s="3" t="s">
        <v>109</v>
      </c>
      <c r="M445" s="3" t="s">
        <v>148</v>
      </c>
      <c r="N445" s="3" t="s">
        <v>158</v>
      </c>
    </row>
    <row r="446" spans="1:14" x14ac:dyDescent="0.3">
      <c r="A446" s="36" t="s">
        <v>37</v>
      </c>
      <c r="B446" s="13">
        <v>109</v>
      </c>
      <c r="C446" s="48" t="str">
        <f>HYPERLINK("https://uscode.house.gov/statutes/pl/109/469.pdf", "P.L. 109-469")</f>
        <v>P.L. 109-469</v>
      </c>
      <c r="D446" s="3" t="s">
        <v>923</v>
      </c>
      <c r="E446" s="3" t="s">
        <v>924</v>
      </c>
      <c r="F446" s="3" t="s">
        <v>925</v>
      </c>
      <c r="G446" s="49"/>
      <c r="H446" s="46">
        <v>40086</v>
      </c>
      <c r="I446" s="13">
        <v>2009</v>
      </c>
      <c r="J446" s="47">
        <v>4900000</v>
      </c>
      <c r="K446" s="16" t="s">
        <v>62</v>
      </c>
      <c r="L446" s="3" t="s">
        <v>229</v>
      </c>
      <c r="M446" s="3" t="s">
        <v>42</v>
      </c>
      <c r="N446" s="3" t="s">
        <v>55</v>
      </c>
    </row>
    <row r="447" spans="1:14" x14ac:dyDescent="0.3">
      <c r="A447" s="36" t="s">
        <v>37</v>
      </c>
      <c r="B447" s="13">
        <v>109</v>
      </c>
      <c r="C447" s="48" t="str">
        <f t="shared" ref="C447:C461" si="15">HYPERLINK("https://uscode.house.gov/statutes/pl/109/479.pdf", "P.L. 109-479")</f>
        <v>P.L. 109-479</v>
      </c>
      <c r="D447" s="3" t="s">
        <v>926</v>
      </c>
      <c r="E447" s="3" t="s">
        <v>593</v>
      </c>
      <c r="F447" s="3" t="s">
        <v>927</v>
      </c>
      <c r="G447" s="48" t="str">
        <f>HYPERLINK("https://uscode.house.gov/view.xhtml?req=granuleid:USC-prelim-title16-section1803&amp;num=0&amp;edition=prelim", "16 U.S.C. 1803")</f>
        <v>16 U.S.C. 1803</v>
      </c>
      <c r="H447" s="46">
        <v>41547</v>
      </c>
      <c r="I447" s="13">
        <v>2013</v>
      </c>
      <c r="J447" s="47">
        <v>396875000</v>
      </c>
      <c r="K447" s="47">
        <v>750092000</v>
      </c>
      <c r="L447" s="3" t="s">
        <v>47</v>
      </c>
      <c r="M447" s="3" t="s">
        <v>148</v>
      </c>
      <c r="N447" s="3" t="s">
        <v>43</v>
      </c>
    </row>
    <row r="448" spans="1:14" x14ac:dyDescent="0.3">
      <c r="A448" s="36" t="s">
        <v>37</v>
      </c>
      <c r="B448" s="13">
        <v>109</v>
      </c>
      <c r="C448" s="48" t="str">
        <f t="shared" si="15"/>
        <v>P.L. 109-479</v>
      </c>
      <c r="D448" s="3" t="s">
        <v>926</v>
      </c>
      <c r="E448" s="3" t="s">
        <v>457</v>
      </c>
      <c r="F448" s="3" t="s">
        <v>928</v>
      </c>
      <c r="G448" s="49"/>
      <c r="H448" s="46">
        <v>41182</v>
      </c>
      <c r="I448" s="13">
        <v>2012</v>
      </c>
      <c r="J448" s="47">
        <v>17500000</v>
      </c>
      <c r="K448" s="16" t="s">
        <v>62</v>
      </c>
      <c r="L448" s="3" t="s">
        <v>47</v>
      </c>
      <c r="M448" s="3" t="s">
        <v>148</v>
      </c>
      <c r="N448" s="3" t="s">
        <v>43</v>
      </c>
    </row>
    <row r="449" spans="1:14" x14ac:dyDescent="0.3">
      <c r="A449" s="36" t="s">
        <v>37</v>
      </c>
      <c r="B449" s="13">
        <v>109</v>
      </c>
      <c r="C449" s="48" t="str">
        <f t="shared" si="15"/>
        <v>P.L. 109-479</v>
      </c>
      <c r="D449" s="3" t="s">
        <v>926</v>
      </c>
      <c r="E449" s="3" t="s">
        <v>899</v>
      </c>
      <c r="F449" s="3" t="s">
        <v>929</v>
      </c>
      <c r="G449" s="49"/>
      <c r="H449" s="46">
        <v>40086</v>
      </c>
      <c r="I449" s="13">
        <v>2009</v>
      </c>
      <c r="J449" s="47">
        <v>2000000</v>
      </c>
      <c r="K449" s="16" t="s">
        <v>62</v>
      </c>
      <c r="L449" s="3" t="s">
        <v>47</v>
      </c>
      <c r="M449" s="3" t="s">
        <v>148</v>
      </c>
      <c r="N449" s="3" t="s">
        <v>43</v>
      </c>
    </row>
    <row r="450" spans="1:14" x14ac:dyDescent="0.3">
      <c r="A450" s="36" t="s">
        <v>37</v>
      </c>
      <c r="B450" s="13">
        <v>109</v>
      </c>
      <c r="C450" s="48" t="str">
        <f t="shared" si="15"/>
        <v>P.L. 109-479</v>
      </c>
      <c r="D450" s="3" t="s">
        <v>926</v>
      </c>
      <c r="E450" s="3" t="s">
        <v>661</v>
      </c>
      <c r="F450" s="3" t="s">
        <v>930</v>
      </c>
      <c r="G450" s="48" t="str">
        <f>HYPERLINK("https://uscode.house.gov/view.xhtml?req=granuleid:USC-prelim-title16-section1869&amp;num=0&amp;edition=prelim", "16 U.S.C. 1869")</f>
        <v>16 U.S.C. 1869</v>
      </c>
      <c r="H450" s="46">
        <v>39355</v>
      </c>
      <c r="I450" s="13">
        <v>2007</v>
      </c>
      <c r="J450" s="47">
        <v>500000</v>
      </c>
      <c r="K450" s="16" t="s">
        <v>62</v>
      </c>
      <c r="L450" s="3" t="s">
        <v>47</v>
      </c>
      <c r="M450" s="3" t="s">
        <v>148</v>
      </c>
      <c r="N450" s="3" t="s">
        <v>43</v>
      </c>
    </row>
    <row r="451" spans="1:14" x14ac:dyDescent="0.3">
      <c r="A451" s="36" t="s">
        <v>37</v>
      </c>
      <c r="B451" s="13">
        <v>109</v>
      </c>
      <c r="C451" s="48" t="str">
        <f t="shared" si="15"/>
        <v>P.L. 109-479</v>
      </c>
      <c r="D451" s="3" t="s">
        <v>926</v>
      </c>
      <c r="E451" s="3" t="s">
        <v>95</v>
      </c>
      <c r="F451" s="3" t="s">
        <v>931</v>
      </c>
      <c r="G451" s="49"/>
      <c r="H451" s="46">
        <v>40816</v>
      </c>
      <c r="I451" s="13">
        <v>2011</v>
      </c>
      <c r="J451" s="47">
        <v>4000000</v>
      </c>
      <c r="K451" s="47">
        <v>1556000</v>
      </c>
      <c r="L451" s="3" t="s">
        <v>47</v>
      </c>
      <c r="M451" s="3" t="s">
        <v>148</v>
      </c>
      <c r="N451" s="3" t="s">
        <v>49</v>
      </c>
    </row>
    <row r="452" spans="1:14" x14ac:dyDescent="0.3">
      <c r="A452" s="36" t="s">
        <v>37</v>
      </c>
      <c r="B452" s="13">
        <v>109</v>
      </c>
      <c r="C452" s="48" t="str">
        <f t="shared" si="15"/>
        <v>P.L. 109-479</v>
      </c>
      <c r="D452" s="3" t="s">
        <v>926</v>
      </c>
      <c r="E452" s="3" t="s">
        <v>95</v>
      </c>
      <c r="F452" s="3" t="s">
        <v>932</v>
      </c>
      <c r="G452" s="48" t="str">
        <f>HYPERLINK("https://uscode.house.gov/view.xhtml?req=granuleid:USC-prelim-title16-section1822&amp;num=0&amp;edition=prelim", "16 U.S.C. 1822(note)")</f>
        <v>16 U.S.C. 1822(note)</v>
      </c>
      <c r="H452" s="46">
        <v>40816</v>
      </c>
      <c r="I452" s="13">
        <v>2011</v>
      </c>
      <c r="J452" s="16" t="s">
        <v>12</v>
      </c>
      <c r="K452" s="16" t="s">
        <v>62</v>
      </c>
      <c r="L452" s="3" t="s">
        <v>47</v>
      </c>
      <c r="M452" s="3" t="s">
        <v>148</v>
      </c>
      <c r="N452" s="3" t="s">
        <v>43</v>
      </c>
    </row>
    <row r="453" spans="1:14" x14ac:dyDescent="0.3">
      <c r="A453" s="36" t="s">
        <v>37</v>
      </c>
      <c r="B453" s="13">
        <v>109</v>
      </c>
      <c r="C453" s="48" t="str">
        <f t="shared" si="15"/>
        <v>P.L. 109-479</v>
      </c>
      <c r="D453" s="3" t="s">
        <v>926</v>
      </c>
      <c r="E453" s="3" t="s">
        <v>95</v>
      </c>
      <c r="F453" s="3" t="s">
        <v>933</v>
      </c>
      <c r="G453" s="49"/>
      <c r="H453" s="46">
        <v>40086</v>
      </c>
      <c r="I453" s="13">
        <v>2009</v>
      </c>
      <c r="J453" s="47">
        <v>90000000</v>
      </c>
      <c r="K453" s="47">
        <v>41000000</v>
      </c>
      <c r="L453" s="3" t="s">
        <v>47</v>
      </c>
      <c r="M453" s="3" t="s">
        <v>148</v>
      </c>
      <c r="N453" s="3" t="s">
        <v>43</v>
      </c>
    </row>
    <row r="454" spans="1:14" x14ac:dyDescent="0.3">
      <c r="A454" s="36" t="s">
        <v>37</v>
      </c>
      <c r="B454" s="13">
        <v>109</v>
      </c>
      <c r="C454" s="48" t="str">
        <f t="shared" si="15"/>
        <v>P.L. 109-479</v>
      </c>
      <c r="D454" s="3" t="s">
        <v>926</v>
      </c>
      <c r="E454" s="3" t="s">
        <v>95</v>
      </c>
      <c r="F454" s="3" t="s">
        <v>934</v>
      </c>
      <c r="G454" s="49"/>
      <c r="H454" s="46">
        <v>40816</v>
      </c>
      <c r="I454" s="13">
        <v>2011</v>
      </c>
      <c r="J454" s="47">
        <v>1000000</v>
      </c>
      <c r="K454" s="16" t="s">
        <v>62</v>
      </c>
      <c r="L454" s="3" t="s">
        <v>47</v>
      </c>
      <c r="M454" s="3" t="s">
        <v>148</v>
      </c>
      <c r="N454" s="3" t="s">
        <v>43</v>
      </c>
    </row>
    <row r="455" spans="1:14" x14ac:dyDescent="0.3">
      <c r="A455" s="36" t="s">
        <v>37</v>
      </c>
      <c r="B455" s="13">
        <v>109</v>
      </c>
      <c r="C455" s="48" t="str">
        <f t="shared" si="15"/>
        <v>P.L. 109-479</v>
      </c>
      <c r="D455" s="3" t="s">
        <v>926</v>
      </c>
      <c r="E455" s="3" t="s">
        <v>95</v>
      </c>
      <c r="F455" s="3" t="s">
        <v>935</v>
      </c>
      <c r="G455" s="49"/>
      <c r="H455" s="46">
        <v>40816</v>
      </c>
      <c r="I455" s="13">
        <v>2011</v>
      </c>
      <c r="J455" s="47">
        <v>250000</v>
      </c>
      <c r="K455" s="16" t="s">
        <v>62</v>
      </c>
      <c r="L455" s="3" t="s">
        <v>47</v>
      </c>
      <c r="M455" s="3" t="s">
        <v>148</v>
      </c>
      <c r="N455" s="3" t="s">
        <v>49</v>
      </c>
    </row>
    <row r="456" spans="1:14" x14ac:dyDescent="0.3">
      <c r="A456" s="36" t="s">
        <v>37</v>
      </c>
      <c r="B456" s="13">
        <v>109</v>
      </c>
      <c r="C456" s="48" t="str">
        <f t="shared" si="15"/>
        <v>P.L. 109-479</v>
      </c>
      <c r="D456" s="3" t="s">
        <v>926</v>
      </c>
      <c r="E456" s="3" t="s">
        <v>95</v>
      </c>
      <c r="F456" s="3" t="s">
        <v>936</v>
      </c>
      <c r="G456" s="49"/>
      <c r="H456" s="46">
        <v>41182</v>
      </c>
      <c r="I456" s="13">
        <v>2012</v>
      </c>
      <c r="J456" s="47">
        <v>5900000</v>
      </c>
      <c r="K456" s="47">
        <v>3377000</v>
      </c>
      <c r="L456" s="3" t="s">
        <v>47</v>
      </c>
      <c r="M456" s="3" t="s">
        <v>148</v>
      </c>
      <c r="N456" s="3" t="s">
        <v>43</v>
      </c>
    </row>
    <row r="457" spans="1:14" x14ac:dyDescent="0.3">
      <c r="A457" s="36" t="s">
        <v>37</v>
      </c>
      <c r="B457" s="13">
        <v>109</v>
      </c>
      <c r="C457" s="48" t="str">
        <f t="shared" si="15"/>
        <v>P.L. 109-479</v>
      </c>
      <c r="D457" s="3" t="s">
        <v>926</v>
      </c>
      <c r="E457" s="3" t="s">
        <v>95</v>
      </c>
      <c r="F457" s="3" t="s">
        <v>937</v>
      </c>
      <c r="G457" s="48" t="str">
        <f>HYPERLINK("https://uscode.house.gov/view.xhtml?req=granuleid:USC-prelim-title16-section757d&amp;num=0&amp;edition=prelim", "16 U.S.C. 757d")</f>
        <v>16 U.S.C. 757d</v>
      </c>
      <c r="H457" s="46">
        <v>41182</v>
      </c>
      <c r="I457" s="13">
        <v>2012</v>
      </c>
      <c r="J457" s="47">
        <v>4500000</v>
      </c>
      <c r="K457" s="16" t="s">
        <v>62</v>
      </c>
      <c r="L457" s="3" t="s">
        <v>47</v>
      </c>
      <c r="M457" s="3" t="s">
        <v>148</v>
      </c>
      <c r="N457" s="3" t="s">
        <v>43</v>
      </c>
    </row>
    <row r="458" spans="1:14" x14ac:dyDescent="0.3">
      <c r="A458" s="36" t="s">
        <v>37</v>
      </c>
      <c r="B458" s="13">
        <v>109</v>
      </c>
      <c r="C458" s="48" t="str">
        <f t="shared" si="15"/>
        <v>P.L. 109-479</v>
      </c>
      <c r="D458" s="3" t="s">
        <v>926</v>
      </c>
      <c r="E458" s="3" t="s">
        <v>938</v>
      </c>
      <c r="F458" s="3" t="s">
        <v>939</v>
      </c>
      <c r="G458" s="49"/>
      <c r="H458" s="46">
        <v>41547</v>
      </c>
      <c r="I458" s="13">
        <v>2013</v>
      </c>
      <c r="J458" s="47">
        <v>6361000</v>
      </c>
      <c r="K458" s="16" t="s">
        <v>62</v>
      </c>
      <c r="L458" s="3" t="s">
        <v>47</v>
      </c>
      <c r="M458" s="3" t="s">
        <v>148</v>
      </c>
      <c r="N458" s="3" t="s">
        <v>43</v>
      </c>
    </row>
    <row r="459" spans="1:14" x14ac:dyDescent="0.3">
      <c r="A459" s="36" t="s">
        <v>37</v>
      </c>
      <c r="B459" s="13">
        <v>109</v>
      </c>
      <c r="C459" s="48" t="str">
        <f t="shared" si="15"/>
        <v>P.L. 109-479</v>
      </c>
      <c r="D459" s="3" t="s">
        <v>926</v>
      </c>
      <c r="E459" s="3" t="s">
        <v>940</v>
      </c>
      <c r="F459" s="3" t="s">
        <v>941</v>
      </c>
      <c r="G459" s="49"/>
      <c r="H459" s="46">
        <v>40816</v>
      </c>
      <c r="I459" s="13">
        <v>2011</v>
      </c>
      <c r="J459" s="47">
        <v>6500000</v>
      </c>
      <c r="K459" s="16" t="s">
        <v>62</v>
      </c>
      <c r="L459" s="3" t="s">
        <v>47</v>
      </c>
      <c r="M459" s="3" t="s">
        <v>148</v>
      </c>
      <c r="N459" s="3" t="s">
        <v>49</v>
      </c>
    </row>
    <row r="460" spans="1:14" x14ac:dyDescent="0.3">
      <c r="A460" s="36" t="s">
        <v>37</v>
      </c>
      <c r="B460" s="13">
        <v>109</v>
      </c>
      <c r="C460" s="48" t="str">
        <f t="shared" si="15"/>
        <v>P.L. 109-479</v>
      </c>
      <c r="D460" s="3" t="s">
        <v>926</v>
      </c>
      <c r="E460" s="3" t="s">
        <v>942</v>
      </c>
      <c r="F460" s="3" t="s">
        <v>943</v>
      </c>
      <c r="G460" s="49"/>
      <c r="H460" s="46">
        <v>40451</v>
      </c>
      <c r="I460" s="13">
        <v>2010</v>
      </c>
      <c r="J460" s="47">
        <v>1300000</v>
      </c>
      <c r="K460" s="16" t="s">
        <v>62</v>
      </c>
      <c r="L460" s="3" t="s">
        <v>47</v>
      </c>
      <c r="M460" s="3" t="s">
        <v>148</v>
      </c>
      <c r="N460" s="3" t="s">
        <v>49</v>
      </c>
    </row>
    <row r="461" spans="1:14" x14ac:dyDescent="0.3">
      <c r="A461" s="36" t="s">
        <v>37</v>
      </c>
      <c r="B461" s="13">
        <v>109</v>
      </c>
      <c r="C461" s="48" t="str">
        <f t="shared" si="15"/>
        <v>P.L. 109-479</v>
      </c>
      <c r="D461" s="3" t="s">
        <v>926</v>
      </c>
      <c r="E461" s="3" t="s">
        <v>944</v>
      </c>
      <c r="F461" s="3" t="s">
        <v>945</v>
      </c>
      <c r="G461" s="48" t="str">
        <f>HYPERLINK("https://uscode.house.gov/view.xhtml?req=granuleid:USC-prelim-title16-section1861a&amp;num=0&amp;edition=prelim", "16 U.S.C. 1861a(a)(4)")</f>
        <v>16 U.S.C. 1861a(a)(4)</v>
      </c>
      <c r="H461" s="46">
        <v>41547</v>
      </c>
      <c r="I461" s="13">
        <v>2013</v>
      </c>
      <c r="J461" s="16" t="s">
        <v>12</v>
      </c>
      <c r="K461" s="47">
        <v>300300000</v>
      </c>
      <c r="L461" s="3" t="s">
        <v>47</v>
      </c>
      <c r="M461" s="3" t="s">
        <v>148</v>
      </c>
      <c r="N461" s="3" t="s">
        <v>43</v>
      </c>
    </row>
    <row r="462" spans="1:14" x14ac:dyDescent="0.3">
      <c r="A462" s="36" t="s">
        <v>37</v>
      </c>
      <c r="B462" s="13">
        <v>110</v>
      </c>
      <c r="C462" s="48" t="str">
        <f>HYPERLINK("https://uscode.house.gov/statutes/pl/110/5.pdf", "P.L. 110-5")</f>
        <v>P.L. 110-5</v>
      </c>
      <c r="D462" s="3" t="s">
        <v>946</v>
      </c>
      <c r="E462" s="3" t="s">
        <v>947</v>
      </c>
      <c r="F462" s="3" t="s">
        <v>948</v>
      </c>
      <c r="G462" s="48" t="str">
        <f>HYPERLINK("https://uscode.house.gov/view.xhtml?req=granuleid:USC-prelim-title5-sectionApp&amp;num=0&amp;edition=prelim", "5 U.S.C. App(405)")</f>
        <v>5 U.S.C. App(405)</v>
      </c>
      <c r="H462" s="46">
        <v>39355</v>
      </c>
      <c r="I462" s="13">
        <v>2007</v>
      </c>
      <c r="J462" s="16" t="s">
        <v>12</v>
      </c>
      <c r="K462" s="47">
        <v>24500000</v>
      </c>
      <c r="L462" s="3" t="s">
        <v>229</v>
      </c>
      <c r="M462" s="3" t="s">
        <v>230</v>
      </c>
      <c r="N462" s="3" t="s">
        <v>55</v>
      </c>
    </row>
    <row r="463" spans="1:14" x14ac:dyDescent="0.3">
      <c r="A463" s="36" t="s">
        <v>37</v>
      </c>
      <c r="B463" s="13">
        <v>110</v>
      </c>
      <c r="C463" s="48" t="str">
        <f>HYPERLINK("https://uscode.house.gov/statutes/pl/110/18.pdf", "P.L. 110-18")</f>
        <v>P.L. 110-18</v>
      </c>
      <c r="D463" s="3" t="s">
        <v>949</v>
      </c>
      <c r="F463" s="3" t="s">
        <v>950</v>
      </c>
      <c r="G463" s="48" t="str">
        <f>HYPERLINK("https://uscode.house.gov/view.xhtml?req=granuleid:USC-prelim-title42-section300n-5&amp;num=0&amp;edition=prelim", "42 U.S.C. 300n-5")</f>
        <v>42 U.S.C. 300n-5</v>
      </c>
      <c r="H463" s="46">
        <v>41182</v>
      </c>
      <c r="I463" s="13">
        <v>2012</v>
      </c>
      <c r="J463" s="16" t="s">
        <v>12</v>
      </c>
      <c r="K463" s="47">
        <v>235500000</v>
      </c>
      <c r="L463" s="3" t="s">
        <v>60</v>
      </c>
      <c r="M463" s="3" t="s">
        <v>71</v>
      </c>
      <c r="N463" s="3" t="s">
        <v>72</v>
      </c>
    </row>
    <row r="464" spans="1:14" x14ac:dyDescent="0.3">
      <c r="A464" s="36" t="s">
        <v>37</v>
      </c>
      <c r="B464" s="13">
        <v>110</v>
      </c>
      <c r="C464" s="48" t="str">
        <f>HYPERLINK("https://uscode.house.gov/statutes/pl/110/23.pdf", "P.L. 110-23")</f>
        <v>P.L. 110-23</v>
      </c>
      <c r="D464" s="3" t="s">
        <v>951</v>
      </c>
      <c r="E464" s="3" t="s">
        <v>952</v>
      </c>
      <c r="F464" s="3" t="s">
        <v>953</v>
      </c>
      <c r="G464" s="48" t="str">
        <f>HYPERLINK("https://uscode.house.gov/view.xhtml?req=granuleid:USC-prelim-title42-section300d-51&amp;num=0&amp;edition=prelim", "42 U.S.C. 300d-51")</f>
        <v>42 U.S.C. 300d-51</v>
      </c>
      <c r="H464" s="46">
        <v>41182</v>
      </c>
      <c r="I464" s="13">
        <v>2012</v>
      </c>
      <c r="J464" s="47">
        <v>400000</v>
      </c>
      <c r="K464" s="16" t="s">
        <v>62</v>
      </c>
      <c r="L464" s="3" t="s">
        <v>60</v>
      </c>
      <c r="M464" s="3" t="s">
        <v>71</v>
      </c>
      <c r="N464" s="3" t="s">
        <v>72</v>
      </c>
    </row>
    <row r="465" spans="1:14" x14ac:dyDescent="0.3">
      <c r="A465" s="36" t="s">
        <v>37</v>
      </c>
      <c r="B465" s="13">
        <v>110</v>
      </c>
      <c r="C465" s="48" t="str">
        <f>HYPERLINK("https://uscode.house.gov/statutes/pl/110/37.pdf", "P.L. 110-37")</f>
        <v>P.L. 110-37</v>
      </c>
      <c r="D465" s="3" t="s">
        <v>954</v>
      </c>
      <c r="E465" s="3" t="s">
        <v>222</v>
      </c>
      <c r="F465" s="3" t="s">
        <v>955</v>
      </c>
      <c r="G465" s="49"/>
      <c r="H465" s="46">
        <v>41182</v>
      </c>
      <c r="I465" s="13">
        <v>2012</v>
      </c>
      <c r="J465" s="16" t="s">
        <v>12</v>
      </c>
      <c r="K465" s="47">
        <v>5521000</v>
      </c>
      <c r="L465" s="3" t="s">
        <v>156</v>
      </c>
      <c r="M465" s="3" t="s">
        <v>157</v>
      </c>
      <c r="N465" s="3" t="s">
        <v>158</v>
      </c>
    </row>
    <row r="466" spans="1:14" x14ac:dyDescent="0.3">
      <c r="A466" s="36" t="s">
        <v>37</v>
      </c>
      <c r="B466" s="13">
        <v>110</v>
      </c>
      <c r="C466" s="48" t="str">
        <f t="shared" ref="C466:C475" si="16">HYPERLINK("https://uscode.house.gov/statutes/pl/110/53.pdf", "P.L. 110-53")</f>
        <v>P.L. 110-53</v>
      </c>
      <c r="D466" s="3" t="s">
        <v>956</v>
      </c>
      <c r="E466" s="3" t="s">
        <v>957</v>
      </c>
      <c r="F466" s="3" t="s">
        <v>958</v>
      </c>
      <c r="G466" s="48" t="str">
        <f>HYPERLINK("https://uscode.house.gov/view.xhtml?req=granuleid:USC-prelim-title6-section485&amp;num=0&amp;edition=prelim", "6 U.S.C. 485")</f>
        <v>6 U.S.C. 485</v>
      </c>
      <c r="H466" s="46">
        <v>40086</v>
      </c>
      <c r="I466" s="13">
        <v>2009</v>
      </c>
      <c r="J466" s="47">
        <v>30000000</v>
      </c>
      <c r="K466" s="16" t="s">
        <v>62</v>
      </c>
      <c r="L466" s="3" t="s">
        <v>642</v>
      </c>
      <c r="M466" s="3" t="s">
        <v>230</v>
      </c>
      <c r="N466" s="3" t="s">
        <v>122</v>
      </c>
    </row>
    <row r="467" spans="1:14" x14ac:dyDescent="0.3">
      <c r="A467" s="36" t="s">
        <v>37</v>
      </c>
      <c r="B467" s="13">
        <v>110</v>
      </c>
      <c r="C467" s="48" t="str">
        <f t="shared" si="16"/>
        <v>P.L. 110-53</v>
      </c>
      <c r="D467" s="3" t="s">
        <v>956</v>
      </c>
      <c r="E467" s="3" t="s">
        <v>959</v>
      </c>
      <c r="F467" s="3" t="s">
        <v>960</v>
      </c>
      <c r="G467" s="48" t="str">
        <f>HYPERLINK("https://uscode.house.gov/view.xhtml?req=granuleid:USC-prelim-title6-section124h&amp;num=0&amp;edition=prelim", "6 U.S.C. 124h")</f>
        <v>6 U.S.C. 124h</v>
      </c>
      <c r="H467" s="46">
        <v>41182</v>
      </c>
      <c r="I467" s="13">
        <v>2012</v>
      </c>
      <c r="J467" s="47">
        <v>10000000</v>
      </c>
      <c r="K467" s="16" t="s">
        <v>62</v>
      </c>
      <c r="L467" s="3" t="s">
        <v>642</v>
      </c>
      <c r="M467" s="3" t="s">
        <v>230</v>
      </c>
      <c r="N467" s="3" t="s">
        <v>122</v>
      </c>
    </row>
    <row r="468" spans="1:14" x14ac:dyDescent="0.3">
      <c r="A468" s="36" t="s">
        <v>37</v>
      </c>
      <c r="B468" s="13">
        <v>110</v>
      </c>
      <c r="C468" s="48" t="str">
        <f t="shared" si="16"/>
        <v>P.L. 110-53</v>
      </c>
      <c r="D468" s="3" t="s">
        <v>956</v>
      </c>
      <c r="E468" s="3" t="s">
        <v>961</v>
      </c>
      <c r="F468" s="3" t="s">
        <v>962</v>
      </c>
      <c r="G468" s="48" t="str">
        <f>HYPERLINK("https://uscode.house.gov/view.xhtml?req=granuleid:USC-prelim-title6-section124j&amp;num=0&amp;edition=prelim", "6 U.S.C. 124j")</f>
        <v>6 U.S.C. 124j</v>
      </c>
      <c r="H468" s="46">
        <v>41547</v>
      </c>
      <c r="I468" s="13">
        <v>2013</v>
      </c>
      <c r="J468" s="47">
        <v>5000000</v>
      </c>
      <c r="K468" s="16" t="s">
        <v>62</v>
      </c>
      <c r="L468" s="3" t="s">
        <v>642</v>
      </c>
      <c r="M468" s="3" t="s">
        <v>230</v>
      </c>
      <c r="N468" s="3" t="s">
        <v>122</v>
      </c>
    </row>
    <row r="469" spans="1:14" x14ac:dyDescent="0.3">
      <c r="A469" s="36" t="s">
        <v>37</v>
      </c>
      <c r="B469" s="13">
        <v>110</v>
      </c>
      <c r="C469" s="48" t="str">
        <f t="shared" si="16"/>
        <v>P.L. 110-53</v>
      </c>
      <c r="D469" s="3" t="s">
        <v>956</v>
      </c>
      <c r="E469" s="3" t="s">
        <v>963</v>
      </c>
      <c r="F469" s="3" t="s">
        <v>964</v>
      </c>
      <c r="G469" s="49"/>
      <c r="H469" s="46">
        <v>39721</v>
      </c>
      <c r="I469" s="13">
        <v>2008</v>
      </c>
      <c r="J469" s="47">
        <v>20000000</v>
      </c>
      <c r="K469" s="16" t="s">
        <v>62</v>
      </c>
      <c r="L469" s="3" t="s">
        <v>642</v>
      </c>
      <c r="M469" s="3" t="s">
        <v>230</v>
      </c>
      <c r="N469" s="3" t="s">
        <v>122</v>
      </c>
    </row>
    <row r="470" spans="1:14" x14ac:dyDescent="0.3">
      <c r="A470" s="36" t="s">
        <v>37</v>
      </c>
      <c r="B470" s="13">
        <v>110</v>
      </c>
      <c r="C470" s="48" t="str">
        <f t="shared" si="16"/>
        <v>P.L. 110-53</v>
      </c>
      <c r="D470" s="3" t="s">
        <v>956</v>
      </c>
      <c r="E470" s="3" t="s">
        <v>965</v>
      </c>
      <c r="F470" s="3" t="s">
        <v>966</v>
      </c>
      <c r="G470" s="48" t="str">
        <f>HYPERLINK("https://uscode.house.gov/view.xhtml?req=granuleid:USC-prelim-title6-section1102&amp;num=0&amp;edition=prelim", "6 U.S.C. 1102")</f>
        <v>6 U.S.C. 1102</v>
      </c>
      <c r="H470" s="46">
        <v>40816</v>
      </c>
      <c r="I470" s="13">
        <v>2011</v>
      </c>
      <c r="J470" s="47">
        <v>66000000</v>
      </c>
      <c r="K470" s="47">
        <v>71031000</v>
      </c>
      <c r="L470" s="3" t="s">
        <v>109</v>
      </c>
      <c r="M470" s="3" t="s">
        <v>230</v>
      </c>
      <c r="N470" s="3" t="s">
        <v>122</v>
      </c>
    </row>
    <row r="471" spans="1:14" x14ac:dyDescent="0.3">
      <c r="A471" s="36" t="s">
        <v>37</v>
      </c>
      <c r="B471" s="13">
        <v>110</v>
      </c>
      <c r="C471" s="48" t="str">
        <f t="shared" si="16"/>
        <v>P.L. 110-53</v>
      </c>
      <c r="D471" s="3" t="s">
        <v>956</v>
      </c>
      <c r="E471" s="3" t="s">
        <v>967</v>
      </c>
      <c r="F471" s="3" t="s">
        <v>968</v>
      </c>
      <c r="G471" s="48" t="str">
        <f>HYPERLINK("https://uscode.house.gov/view.xhtml?req=granuleid:USC-prelim-title6-section1102&amp;num=0&amp;edition=prelim", "6 U.S.C. 1102")</f>
        <v>6 U.S.C. 1102</v>
      </c>
      <c r="H471" s="46">
        <v>40816</v>
      </c>
      <c r="I471" s="13">
        <v>2011</v>
      </c>
      <c r="J471" s="47">
        <v>25500000</v>
      </c>
      <c r="K471" s="47">
        <v>101000000</v>
      </c>
      <c r="L471" s="3" t="s">
        <v>109</v>
      </c>
      <c r="M471" s="3" t="s">
        <v>230</v>
      </c>
      <c r="N471" s="3" t="s">
        <v>122</v>
      </c>
    </row>
    <row r="472" spans="1:14" x14ac:dyDescent="0.3">
      <c r="A472" s="36" t="s">
        <v>37</v>
      </c>
      <c r="B472" s="13">
        <v>110</v>
      </c>
      <c r="C472" s="48" t="str">
        <f t="shared" si="16"/>
        <v>P.L. 110-53</v>
      </c>
      <c r="D472" s="3" t="s">
        <v>956</v>
      </c>
      <c r="E472" s="3" t="s">
        <v>969</v>
      </c>
      <c r="F472" s="3" t="s">
        <v>970</v>
      </c>
      <c r="G472" s="48" t="str">
        <f>HYPERLINK("https://uscode.house.gov/view.xhtml?req=granuleid:USC-prelim-title6-section1113&amp;num=0&amp;edition=prelim", "6 U.S.C. 1113")</f>
        <v>6 U.S.C. 1113</v>
      </c>
      <c r="H472" s="46">
        <v>40816</v>
      </c>
      <c r="I472" s="13">
        <v>2011</v>
      </c>
      <c r="J472" s="47">
        <v>22800000</v>
      </c>
      <c r="K472" s="16" t="s">
        <v>62</v>
      </c>
      <c r="L472" s="3" t="s">
        <v>642</v>
      </c>
      <c r="M472" s="3" t="s">
        <v>230</v>
      </c>
      <c r="N472" s="3" t="s">
        <v>122</v>
      </c>
    </row>
    <row r="473" spans="1:14" x14ac:dyDescent="0.3">
      <c r="A473" s="36" t="s">
        <v>37</v>
      </c>
      <c r="B473" s="13">
        <v>110</v>
      </c>
      <c r="C473" s="48" t="str">
        <f t="shared" si="16"/>
        <v>P.L. 110-53</v>
      </c>
      <c r="D473" s="3" t="s">
        <v>956</v>
      </c>
      <c r="E473" s="3" t="s">
        <v>971</v>
      </c>
      <c r="F473" s="3" t="s">
        <v>972</v>
      </c>
      <c r="G473" s="48" t="str">
        <f>HYPERLINK("https://uscode.house.gov/view.xhtml?req=granuleid:USC-prelim-title6-section1138&amp;num=0&amp;edition=prelim", "6 U.S.C. 1138")</f>
        <v>6 U.S.C. 1138</v>
      </c>
      <c r="H473" s="46">
        <v>40816</v>
      </c>
      <c r="I473" s="13">
        <v>2011</v>
      </c>
      <c r="J473" s="47">
        <v>25000000</v>
      </c>
      <c r="K473" s="47">
        <v>105000000</v>
      </c>
      <c r="L473" s="3" t="s">
        <v>642</v>
      </c>
      <c r="M473" s="3" t="s">
        <v>230</v>
      </c>
      <c r="N473" s="3" t="s">
        <v>122</v>
      </c>
    </row>
    <row r="474" spans="1:14" x14ac:dyDescent="0.3">
      <c r="A474" s="36" t="s">
        <v>37</v>
      </c>
      <c r="B474" s="13">
        <v>110</v>
      </c>
      <c r="C474" s="48" t="str">
        <f t="shared" si="16"/>
        <v>P.L. 110-53</v>
      </c>
      <c r="D474" s="3" t="s">
        <v>956</v>
      </c>
      <c r="E474" s="3" t="s">
        <v>973</v>
      </c>
      <c r="F474" s="3" t="s">
        <v>974</v>
      </c>
      <c r="G474" s="48" t="str">
        <f>HYPERLINK("https://uscode.house.gov/view.xhtml?req=granuleid:USC-prelim-title6-section1165&amp;num=0&amp;edition=prelim", "6 U.S.C. 1165")</f>
        <v>6 U.S.C. 1165</v>
      </c>
      <c r="H474" s="46">
        <v>40816</v>
      </c>
      <c r="I474" s="13">
        <v>2011</v>
      </c>
      <c r="J474" s="47">
        <v>70000000</v>
      </c>
      <c r="K474" s="47">
        <v>10000000</v>
      </c>
      <c r="L474" s="3" t="s">
        <v>642</v>
      </c>
      <c r="M474" s="3" t="s">
        <v>230</v>
      </c>
      <c r="N474" s="3" t="s">
        <v>122</v>
      </c>
    </row>
    <row r="475" spans="1:14" x14ac:dyDescent="0.3">
      <c r="A475" s="36" t="s">
        <v>37</v>
      </c>
      <c r="B475" s="13">
        <v>110</v>
      </c>
      <c r="C475" s="48" t="str">
        <f t="shared" si="16"/>
        <v>P.L. 110-53</v>
      </c>
      <c r="D475" s="3" t="s">
        <v>956</v>
      </c>
      <c r="E475" s="3" t="s">
        <v>975</v>
      </c>
      <c r="F475" s="3" t="s">
        <v>976</v>
      </c>
      <c r="G475" s="48" t="str">
        <f>HYPERLINK("https://uscode.house.gov/view.xhtml?req=granuleid:USC-prelim-title49-section44923&amp;num=0&amp;edition=prelim", "49 U.S.C. 44923(i)")</f>
        <v>49 U.S.C. 44923(i)</v>
      </c>
      <c r="H475" s="46">
        <v>40816</v>
      </c>
      <c r="I475" s="13">
        <v>2011</v>
      </c>
      <c r="J475" s="47">
        <v>450000000</v>
      </c>
      <c r="K475" s="47">
        <v>538405000</v>
      </c>
      <c r="L475" s="3" t="s">
        <v>642</v>
      </c>
      <c r="M475" s="3" t="s">
        <v>230</v>
      </c>
      <c r="N475" s="3" t="s">
        <v>122</v>
      </c>
    </row>
    <row r="476" spans="1:14" x14ac:dyDescent="0.3">
      <c r="A476" s="36" t="s">
        <v>37</v>
      </c>
      <c r="B476" s="13">
        <v>110</v>
      </c>
      <c r="C476" s="48" t="str">
        <f>HYPERLINK("https://uscode.house.gov/statutes/pl/110/69.pdf", "P.L. 110-69")</f>
        <v>P.L. 110-69</v>
      </c>
      <c r="D476" s="3" t="s">
        <v>977</v>
      </c>
      <c r="E476" s="3" t="s">
        <v>978</v>
      </c>
      <c r="F476" s="3" t="s">
        <v>979</v>
      </c>
      <c r="G476" s="49"/>
      <c r="H476" s="46">
        <v>40451</v>
      </c>
      <c r="I476" s="13">
        <v>2010</v>
      </c>
      <c r="J476" s="47">
        <v>8000000</v>
      </c>
      <c r="K476" s="16" t="s">
        <v>62</v>
      </c>
      <c r="L476" s="3" t="s">
        <v>135</v>
      </c>
      <c r="M476" s="3" t="s">
        <v>148</v>
      </c>
      <c r="N476" s="3" t="s">
        <v>58</v>
      </c>
    </row>
    <row r="477" spans="1:14" x14ac:dyDescent="0.3">
      <c r="A477" s="36" t="s">
        <v>37</v>
      </c>
      <c r="B477" s="13">
        <v>110</v>
      </c>
      <c r="C477" s="48" t="str">
        <f>HYPERLINK("https://uscode.house.gov/statutes/pl/110/69.pdf", "P.L. 110-69")</f>
        <v>P.L. 110-69</v>
      </c>
      <c r="D477" s="3" t="s">
        <v>977</v>
      </c>
      <c r="E477" s="3" t="s">
        <v>980</v>
      </c>
      <c r="F477" s="3" t="s">
        <v>981</v>
      </c>
      <c r="G477" s="49"/>
      <c r="H477" s="46">
        <v>40451</v>
      </c>
      <c r="I477" s="13">
        <v>2010</v>
      </c>
      <c r="J477" s="47">
        <v>10000000</v>
      </c>
      <c r="K477" s="16" t="s">
        <v>62</v>
      </c>
      <c r="L477" s="3" t="s">
        <v>135</v>
      </c>
      <c r="M477" s="3" t="s">
        <v>148</v>
      </c>
      <c r="N477" s="3" t="s">
        <v>58</v>
      </c>
    </row>
    <row r="478" spans="1:14" x14ac:dyDescent="0.3">
      <c r="A478" s="36" t="s">
        <v>37</v>
      </c>
      <c r="B478" s="13">
        <v>110</v>
      </c>
      <c r="C478" s="48" t="str">
        <f>HYPERLINK("https://uscode.house.gov/statutes/pl/110/83.pdf", "P.L. 110-83")</f>
        <v>P.L. 110-83</v>
      </c>
      <c r="D478" s="3" t="s">
        <v>982</v>
      </c>
      <c r="E478" s="3" t="s">
        <v>560</v>
      </c>
      <c r="F478" s="3" t="s">
        <v>983</v>
      </c>
      <c r="G478" s="48" t="str">
        <f>HYPERLINK("https://uscode.house.gov/view.xhtml?req=granuleid:USC-prelim-title22-section2452&amp;num=0&amp;edition=prelim", "22 U.S.C. 2452")</f>
        <v>22 U.S.C. 2452</v>
      </c>
      <c r="H478" s="46">
        <v>39721</v>
      </c>
      <c r="I478" s="13">
        <v>2008</v>
      </c>
      <c r="J478" s="16" t="s">
        <v>12</v>
      </c>
      <c r="K478" s="16" t="s">
        <v>62</v>
      </c>
      <c r="L478" s="3" t="s">
        <v>80</v>
      </c>
      <c r="M478" s="3" t="s">
        <v>81</v>
      </c>
      <c r="N478" s="3" t="s">
        <v>82</v>
      </c>
    </row>
    <row r="479" spans="1:14" x14ac:dyDescent="0.3">
      <c r="A479" s="36" t="s">
        <v>37</v>
      </c>
      <c r="B479" s="13">
        <v>110</v>
      </c>
      <c r="C479" s="48" t="str">
        <f>HYPERLINK("https://uscode.house.gov/statutes/pl/110/97.pdf", "P.L. 110-97")</f>
        <v>P.L. 110-97</v>
      </c>
      <c r="D479" s="3" t="s">
        <v>984</v>
      </c>
      <c r="E479" s="3" t="s">
        <v>51</v>
      </c>
      <c r="F479" s="3" t="s">
        <v>985</v>
      </c>
      <c r="G479" s="49"/>
      <c r="H479" s="46">
        <v>41182</v>
      </c>
      <c r="I479" s="13">
        <v>2012</v>
      </c>
      <c r="J479" s="16" t="s">
        <v>12</v>
      </c>
      <c r="K479" s="47">
        <v>40000000</v>
      </c>
      <c r="L479" s="3" t="s">
        <v>229</v>
      </c>
      <c r="M479" s="3" t="s">
        <v>230</v>
      </c>
      <c r="N479" s="3" t="s">
        <v>55</v>
      </c>
    </row>
    <row r="480" spans="1:14" x14ac:dyDescent="0.3">
      <c r="A480" s="36" t="s">
        <v>37</v>
      </c>
      <c r="B480" s="13">
        <v>110</v>
      </c>
      <c r="C480" s="48" t="str">
        <f>HYPERLINK("https://uscode.house.gov/statutes/pl/110/114.pdf", "P.L. 110-114")</f>
        <v>P.L. 110-114</v>
      </c>
      <c r="D480" s="3" t="s">
        <v>986</v>
      </c>
      <c r="F480" s="3" t="s">
        <v>987</v>
      </c>
      <c r="G480" s="49"/>
      <c r="H480" s="46">
        <v>40451</v>
      </c>
      <c r="I480" s="13">
        <v>2010</v>
      </c>
      <c r="J480" s="47">
        <v>10000000</v>
      </c>
      <c r="K480" s="16" t="s">
        <v>62</v>
      </c>
      <c r="L480" s="3" t="s">
        <v>109</v>
      </c>
      <c r="M480" s="3" t="s">
        <v>67</v>
      </c>
      <c r="N480" s="3" t="s">
        <v>58</v>
      </c>
    </row>
    <row r="481" spans="1:14" x14ac:dyDescent="0.3">
      <c r="A481" s="36" t="s">
        <v>37</v>
      </c>
      <c r="B481" s="13">
        <v>110</v>
      </c>
      <c r="C481" s="48" t="str">
        <f>HYPERLINK("https://uscode.house.gov/statutes/pl/110/114.pdf", "P.L. 110-114")</f>
        <v>P.L. 110-114</v>
      </c>
      <c r="D481" s="3" t="s">
        <v>986</v>
      </c>
      <c r="F481" s="3" t="s">
        <v>988</v>
      </c>
      <c r="G481" s="49"/>
      <c r="H481" s="46">
        <v>42277</v>
      </c>
      <c r="I481" s="13">
        <v>2015</v>
      </c>
      <c r="J481" s="47">
        <v>30000000</v>
      </c>
      <c r="K481" s="16" t="s">
        <v>62</v>
      </c>
      <c r="L481" s="3" t="s">
        <v>109</v>
      </c>
      <c r="M481" s="3" t="s">
        <v>67</v>
      </c>
      <c r="N481" s="3" t="s">
        <v>58</v>
      </c>
    </row>
    <row r="482" spans="1:14" x14ac:dyDescent="0.3">
      <c r="A482" s="36" t="s">
        <v>37</v>
      </c>
      <c r="B482" s="13">
        <v>110</v>
      </c>
      <c r="C482" s="48" t="str">
        <f>HYPERLINK("https://uscode.house.gov/statutes/pl/110/114.pdf", "P.L. 110-114")</f>
        <v>P.L. 110-114</v>
      </c>
      <c r="D482" s="3" t="s">
        <v>986</v>
      </c>
      <c r="F482" s="3" t="s">
        <v>989</v>
      </c>
      <c r="G482" s="49"/>
      <c r="H482" s="46">
        <v>41182</v>
      </c>
      <c r="I482" s="13">
        <v>2012</v>
      </c>
      <c r="J482" s="47">
        <v>10000000</v>
      </c>
      <c r="K482" s="16" t="s">
        <v>62</v>
      </c>
      <c r="L482" s="3" t="s">
        <v>109</v>
      </c>
      <c r="M482" s="3" t="s">
        <v>67</v>
      </c>
      <c r="N482" s="3" t="s">
        <v>58</v>
      </c>
    </row>
    <row r="483" spans="1:14" x14ac:dyDescent="0.3">
      <c r="A483" s="36" t="s">
        <v>37</v>
      </c>
      <c r="B483" s="13">
        <v>110</v>
      </c>
      <c r="C483" s="48" t="str">
        <f>HYPERLINK("https://uscode.house.gov/statutes/pl/110/114.pdf", "P.L. 110-114")</f>
        <v>P.L. 110-114</v>
      </c>
      <c r="D483" s="3" t="s">
        <v>986</v>
      </c>
      <c r="F483" s="3" t="s">
        <v>990</v>
      </c>
      <c r="G483" s="49"/>
      <c r="H483" s="46">
        <v>41182</v>
      </c>
      <c r="I483" s="13">
        <v>2012</v>
      </c>
      <c r="J483" s="47">
        <v>5000000</v>
      </c>
      <c r="K483" s="16" t="s">
        <v>62</v>
      </c>
      <c r="L483" s="3" t="s">
        <v>109</v>
      </c>
      <c r="M483" s="3" t="s">
        <v>67</v>
      </c>
      <c r="N483" s="3" t="s">
        <v>58</v>
      </c>
    </row>
    <row r="484" spans="1:14" x14ac:dyDescent="0.3">
      <c r="A484" s="36" t="s">
        <v>37</v>
      </c>
      <c r="B484" s="13">
        <v>110</v>
      </c>
      <c r="C484" s="48" t="str">
        <f>HYPERLINK("https://uscode.house.gov/statutes/pl/110/114.pdf", "P.L. 110-114")</f>
        <v>P.L. 110-114</v>
      </c>
      <c r="D484" s="3" t="s">
        <v>986</v>
      </c>
      <c r="F484" s="3" t="s">
        <v>991</v>
      </c>
      <c r="G484" s="49"/>
      <c r="H484" s="46">
        <v>40451</v>
      </c>
      <c r="I484" s="13">
        <v>2010</v>
      </c>
      <c r="J484" s="47">
        <v>100000000</v>
      </c>
      <c r="K484" s="16" t="s">
        <v>62</v>
      </c>
      <c r="L484" s="3" t="s">
        <v>109</v>
      </c>
      <c r="M484" s="3" t="s">
        <v>67</v>
      </c>
      <c r="N484" s="3" t="s">
        <v>58</v>
      </c>
    </row>
    <row r="485" spans="1:14" x14ac:dyDescent="0.3">
      <c r="A485" s="36" t="s">
        <v>37</v>
      </c>
      <c r="B485" s="13">
        <v>110</v>
      </c>
      <c r="C485" s="48" t="str">
        <f>HYPERLINK("https://uscode.house.gov/statutes/pl/110/132.pdf", "P.L. 110-132")</f>
        <v>P.L. 110-132</v>
      </c>
      <c r="D485" s="3" t="s">
        <v>992</v>
      </c>
      <c r="E485" s="3" t="s">
        <v>222</v>
      </c>
      <c r="F485" s="3" t="s">
        <v>993</v>
      </c>
      <c r="G485" s="48" t="str">
        <f>HYPERLINK("https://uscode.house.gov/view.xhtml?req=granuleid:USC-prelim-title16-section4245&amp;num=0&amp;edition=prelim", "16 U.S.C. 4245(a)")</f>
        <v>16 U.S.C. 4245(a)</v>
      </c>
      <c r="H485" s="46">
        <v>41182</v>
      </c>
      <c r="I485" s="13">
        <v>2012</v>
      </c>
      <c r="J485" s="16" t="s">
        <v>12</v>
      </c>
      <c r="K485" s="47">
        <v>4796000</v>
      </c>
      <c r="L485" s="3" t="s">
        <v>47</v>
      </c>
      <c r="M485" s="3" t="s">
        <v>67</v>
      </c>
      <c r="N485" s="3" t="s">
        <v>49</v>
      </c>
    </row>
    <row r="486" spans="1:14" x14ac:dyDescent="0.3">
      <c r="A486" s="36" t="s">
        <v>37</v>
      </c>
      <c r="B486" s="13">
        <v>110</v>
      </c>
      <c r="C486" s="48" t="str">
        <f>HYPERLINK("https://uscode.house.gov/statutes/pl/110/132.pdf", "P.L. 110-132")</f>
        <v>P.L. 110-132</v>
      </c>
      <c r="D486" s="3" t="s">
        <v>992</v>
      </c>
      <c r="E486" s="3" t="s">
        <v>296</v>
      </c>
      <c r="F486" s="3" t="s">
        <v>994</v>
      </c>
      <c r="G486" s="48" t="str">
        <f>HYPERLINK("https://uscode.house.gov/view.xhtml?req=granuleid:USC-prelim-title16-section5306&amp;num=0&amp;edition=prelim", "16 U.S.C. 5306(a)")</f>
        <v>16 U.S.C. 5306(a)</v>
      </c>
      <c r="H486" s="46">
        <v>41182</v>
      </c>
      <c r="I486" s="13">
        <v>2012</v>
      </c>
      <c r="J486" s="16" t="s">
        <v>12</v>
      </c>
      <c r="K486" s="47">
        <v>6388000</v>
      </c>
      <c r="L486" s="3" t="s">
        <v>47</v>
      </c>
      <c r="M486" s="3" t="s">
        <v>67</v>
      </c>
      <c r="N486" s="3" t="s">
        <v>49</v>
      </c>
    </row>
    <row r="487" spans="1:14" x14ac:dyDescent="0.3">
      <c r="A487" s="36" t="s">
        <v>37</v>
      </c>
      <c r="B487" s="13">
        <v>110</v>
      </c>
      <c r="C487" s="48" t="str">
        <f>HYPERLINK("https://uscode.house.gov/statutes/pl/110/133.pdf", "P.L. 110-133")</f>
        <v>P.L. 110-133</v>
      </c>
      <c r="D487" s="3" t="s">
        <v>995</v>
      </c>
      <c r="F487" s="3" t="s">
        <v>996</v>
      </c>
      <c r="G487" s="48" t="str">
        <f>HYPERLINK("https://uscode.house.gov/view.xhtml?req=granuleid:USC-prelim-title16-section4266&amp;num=0&amp;edition=prelim", "16 U.S.C. 4266(a)")</f>
        <v>16 U.S.C. 4266(a)</v>
      </c>
      <c r="H487" s="46">
        <v>41182</v>
      </c>
      <c r="I487" s="13">
        <v>2012</v>
      </c>
      <c r="J487" s="16" t="s">
        <v>12</v>
      </c>
      <c r="K487" s="47">
        <v>3017000</v>
      </c>
      <c r="L487" s="3" t="s">
        <v>47</v>
      </c>
      <c r="M487" s="3" t="s">
        <v>67</v>
      </c>
      <c r="N487" s="3" t="s">
        <v>49</v>
      </c>
    </row>
    <row r="488" spans="1:14" x14ac:dyDescent="0.3">
      <c r="A488" s="36" t="s">
        <v>37</v>
      </c>
      <c r="B488" s="13">
        <v>110</v>
      </c>
      <c r="C488" s="48" t="str">
        <f>HYPERLINK("https://uscode.house.gov/statutes/pl/110/315.pdf", "P.L. 110-315")</f>
        <v>P.L. 110-315</v>
      </c>
      <c r="D488" s="3" t="s">
        <v>1139</v>
      </c>
      <c r="E488" s="3" t="s">
        <v>1176</v>
      </c>
      <c r="F488" s="3" t="s">
        <v>1177</v>
      </c>
      <c r="G488" s="48" t="str">
        <f>HYPERLINK("https://uscode.house.gov/view.xhtml?req=granuleid:USC-prelim-title20-section1022h&amp;num=0&amp;edition=prelim", "20 U.S.C. 1022h")</f>
        <v>20 U.S.C. 1022h</v>
      </c>
      <c r="H488" s="46">
        <v>40816</v>
      </c>
      <c r="I488" s="13">
        <v>2011</v>
      </c>
      <c r="J488" s="16" t="s">
        <v>12</v>
      </c>
      <c r="K488" s="47">
        <v>70000000</v>
      </c>
      <c r="L488" s="3" t="s">
        <v>130</v>
      </c>
      <c r="M488" s="3" t="s">
        <v>71</v>
      </c>
      <c r="N488" s="3" t="s">
        <v>72</v>
      </c>
    </row>
    <row r="489" spans="1:14" x14ac:dyDescent="0.3">
      <c r="A489" s="36" t="s">
        <v>37</v>
      </c>
      <c r="B489" s="13">
        <v>110</v>
      </c>
      <c r="C489" s="48" t="str">
        <f>HYPERLINK("https://uscode.house.gov/statutes/pl/110/134.pdf", "P.L. 110-134")</f>
        <v>P.L. 110-134</v>
      </c>
      <c r="D489" s="3" t="s">
        <v>997</v>
      </c>
      <c r="E489" s="3" t="s">
        <v>560</v>
      </c>
      <c r="F489" s="3" t="s">
        <v>998</v>
      </c>
      <c r="G489" s="48" t="str">
        <f>HYPERLINK("https://uscode.house.gov/view.xhtml?req=granuleid:USC-prelim-title42-section9833&amp;num=0&amp;edition=prelim", "42 U.S.C. 9833")</f>
        <v>42 U.S.C. 9833</v>
      </c>
      <c r="H489" s="46">
        <v>41182</v>
      </c>
      <c r="I489" s="13">
        <v>2012</v>
      </c>
      <c r="J489" s="16" t="s">
        <v>12</v>
      </c>
      <c r="K489" s="47">
        <v>12341820000</v>
      </c>
      <c r="L489" s="3" t="s">
        <v>130</v>
      </c>
      <c r="M489" s="3" t="s">
        <v>71</v>
      </c>
      <c r="N489" s="3" t="s">
        <v>72</v>
      </c>
    </row>
    <row r="490" spans="1:14" x14ac:dyDescent="0.3">
      <c r="A490" s="36" t="s">
        <v>37</v>
      </c>
      <c r="B490" s="13">
        <v>110</v>
      </c>
      <c r="C490" s="48" t="str">
        <f t="shared" ref="C490:C521" si="17">HYPERLINK("https://uscode.house.gov/statutes/pl/110/140.pdf", "P.L. 110-140")</f>
        <v>P.L. 110-140</v>
      </c>
      <c r="D490" s="3" t="s">
        <v>1001</v>
      </c>
      <c r="E490" s="3" t="s">
        <v>1002</v>
      </c>
      <c r="F490" s="3" t="s">
        <v>1003</v>
      </c>
      <c r="G490" s="49"/>
      <c r="H490" s="46">
        <v>41182</v>
      </c>
      <c r="I490" s="13">
        <v>2012</v>
      </c>
      <c r="J490" s="47">
        <v>90000000</v>
      </c>
      <c r="K490" s="16" t="s">
        <v>62</v>
      </c>
      <c r="L490" s="3" t="s">
        <v>60</v>
      </c>
      <c r="M490" s="3" t="s">
        <v>48</v>
      </c>
      <c r="N490" s="3" t="s">
        <v>58</v>
      </c>
    </row>
    <row r="491" spans="1:14" x14ac:dyDescent="0.3">
      <c r="A491" s="36" t="s">
        <v>37</v>
      </c>
      <c r="B491" s="13">
        <v>110</v>
      </c>
      <c r="C491" s="48" t="str">
        <f t="shared" si="17"/>
        <v>P.L. 110-140</v>
      </c>
      <c r="D491" s="3" t="s">
        <v>1001</v>
      </c>
      <c r="F491" s="3" t="s">
        <v>1004</v>
      </c>
      <c r="G491" s="49"/>
      <c r="H491" s="46">
        <v>41547</v>
      </c>
      <c r="I491" s="13">
        <v>2013</v>
      </c>
      <c r="J491" s="47">
        <v>95000000</v>
      </c>
      <c r="K491" s="16" t="s">
        <v>62</v>
      </c>
      <c r="L491" s="3" t="s">
        <v>60</v>
      </c>
      <c r="M491" s="3" t="s">
        <v>48</v>
      </c>
      <c r="N491" s="3" t="s">
        <v>58</v>
      </c>
    </row>
    <row r="492" spans="1:14" x14ac:dyDescent="0.3">
      <c r="A492" s="36" t="s">
        <v>37</v>
      </c>
      <c r="B492" s="13">
        <v>110</v>
      </c>
      <c r="C492" s="48" t="str">
        <f t="shared" si="17"/>
        <v>P.L. 110-140</v>
      </c>
      <c r="D492" s="3" t="s">
        <v>1001</v>
      </c>
      <c r="F492" s="3" t="s">
        <v>1005</v>
      </c>
      <c r="G492" s="48" t="str">
        <f>HYPERLINK("https://uscode.house.gov/view.xhtml?req=granuleid:USC-prelim-title42-section13258&amp;num=0&amp;edition=prelim", "42 U.S.C. 13258")</f>
        <v>42 U.S.C. 13258</v>
      </c>
      <c r="H492" s="46">
        <v>41547</v>
      </c>
      <c r="I492" s="13">
        <v>2013</v>
      </c>
      <c r="J492" s="16" t="s">
        <v>12</v>
      </c>
      <c r="K492" s="16" t="s">
        <v>62</v>
      </c>
      <c r="L492" s="3" t="s">
        <v>60</v>
      </c>
      <c r="M492" s="3" t="s">
        <v>48</v>
      </c>
      <c r="N492" s="3" t="s">
        <v>58</v>
      </c>
    </row>
    <row r="493" spans="1:14" x14ac:dyDescent="0.3">
      <c r="A493" s="36" t="s">
        <v>37</v>
      </c>
      <c r="B493" s="13">
        <v>110</v>
      </c>
      <c r="C493" s="48" t="str">
        <f t="shared" si="17"/>
        <v>P.L. 110-140</v>
      </c>
      <c r="D493" s="3" t="s">
        <v>1001</v>
      </c>
      <c r="F493" s="3" t="s">
        <v>1006</v>
      </c>
      <c r="G493" s="49"/>
      <c r="H493" s="46">
        <v>40086</v>
      </c>
      <c r="I493" s="13">
        <v>2009</v>
      </c>
      <c r="J493" s="47">
        <v>1000000</v>
      </c>
      <c r="K493" s="16" t="s">
        <v>62</v>
      </c>
      <c r="L493" s="3" t="s">
        <v>60</v>
      </c>
      <c r="M493" s="3" t="s">
        <v>48</v>
      </c>
      <c r="N493" s="3" t="s">
        <v>58</v>
      </c>
    </row>
    <row r="494" spans="1:14" x14ac:dyDescent="0.3">
      <c r="A494" s="36" t="s">
        <v>37</v>
      </c>
      <c r="B494" s="13">
        <v>110</v>
      </c>
      <c r="C494" s="48" t="str">
        <f t="shared" si="17"/>
        <v>P.L. 110-140</v>
      </c>
      <c r="D494" s="3" t="s">
        <v>1001</v>
      </c>
      <c r="F494" s="3" t="s">
        <v>1007</v>
      </c>
      <c r="G494" s="49"/>
      <c r="H494" s="46">
        <v>41912</v>
      </c>
      <c r="I494" s="13">
        <v>2014</v>
      </c>
      <c r="J494" s="47">
        <v>200000000</v>
      </c>
      <c r="K494" s="16" t="s">
        <v>62</v>
      </c>
      <c r="L494" s="3" t="s">
        <v>60</v>
      </c>
      <c r="M494" s="3" t="s">
        <v>48</v>
      </c>
      <c r="N494" s="3" t="s">
        <v>58</v>
      </c>
    </row>
    <row r="495" spans="1:14" x14ac:dyDescent="0.3">
      <c r="A495" s="36" t="s">
        <v>37</v>
      </c>
      <c r="B495" s="13">
        <v>110</v>
      </c>
      <c r="C495" s="48" t="str">
        <f t="shared" si="17"/>
        <v>P.L. 110-140</v>
      </c>
      <c r="D495" s="3" t="s">
        <v>1001</v>
      </c>
      <c r="E495" s="3" t="s">
        <v>1008</v>
      </c>
      <c r="F495" s="3" t="s">
        <v>1009</v>
      </c>
      <c r="G495" s="49"/>
      <c r="H495" s="46">
        <v>41182</v>
      </c>
      <c r="I495" s="13">
        <v>2012</v>
      </c>
      <c r="J495" s="47">
        <v>10000000</v>
      </c>
      <c r="K495" s="16" t="s">
        <v>62</v>
      </c>
      <c r="L495" s="3" t="s">
        <v>60</v>
      </c>
      <c r="M495" s="3" t="s">
        <v>48</v>
      </c>
      <c r="N495" s="3" t="s">
        <v>58</v>
      </c>
    </row>
    <row r="496" spans="1:14" x14ac:dyDescent="0.3">
      <c r="A496" s="36" t="s">
        <v>37</v>
      </c>
      <c r="B496" s="13">
        <v>110</v>
      </c>
      <c r="C496" s="48" t="str">
        <f t="shared" si="17"/>
        <v>P.L. 110-140</v>
      </c>
      <c r="D496" s="3" t="s">
        <v>1001</v>
      </c>
      <c r="E496" s="3" t="s">
        <v>1010</v>
      </c>
      <c r="F496" s="3" t="s">
        <v>1011</v>
      </c>
      <c r="G496" s="49"/>
      <c r="H496" s="46">
        <v>41547</v>
      </c>
      <c r="I496" s="13">
        <v>2013</v>
      </c>
      <c r="J496" s="47">
        <v>10000000</v>
      </c>
      <c r="K496" s="16" t="s">
        <v>62</v>
      </c>
      <c r="L496" s="3" t="s">
        <v>60</v>
      </c>
      <c r="M496" s="3" t="s">
        <v>48</v>
      </c>
      <c r="N496" s="3" t="s">
        <v>58</v>
      </c>
    </row>
    <row r="497" spans="1:14" x14ac:dyDescent="0.3">
      <c r="A497" s="36" t="s">
        <v>37</v>
      </c>
      <c r="B497" s="13">
        <v>110</v>
      </c>
      <c r="C497" s="48" t="str">
        <f t="shared" si="17"/>
        <v>P.L. 110-140</v>
      </c>
      <c r="D497" s="3" t="s">
        <v>1001</v>
      </c>
      <c r="F497" s="3" t="s">
        <v>1012</v>
      </c>
      <c r="G497" s="49"/>
      <c r="H497" s="46">
        <v>43373</v>
      </c>
      <c r="I497" s="13">
        <v>2018</v>
      </c>
      <c r="J497" s="47">
        <v>200000000</v>
      </c>
      <c r="K497" s="16" t="s">
        <v>62</v>
      </c>
      <c r="L497" s="3" t="s">
        <v>60</v>
      </c>
      <c r="M497" s="3" t="s">
        <v>48</v>
      </c>
      <c r="N497" s="3" t="s">
        <v>58</v>
      </c>
    </row>
    <row r="498" spans="1:14" x14ac:dyDescent="0.3">
      <c r="A498" s="36" t="s">
        <v>37</v>
      </c>
      <c r="B498" s="13">
        <v>110</v>
      </c>
      <c r="C498" s="48" t="str">
        <f t="shared" si="17"/>
        <v>P.L. 110-140</v>
      </c>
      <c r="D498" s="3" t="s">
        <v>1001</v>
      </c>
      <c r="E498" s="3" t="s">
        <v>1013</v>
      </c>
      <c r="F498" s="3" t="s">
        <v>1014</v>
      </c>
      <c r="G498" s="49"/>
      <c r="H498" s="46">
        <v>41182</v>
      </c>
      <c r="I498" s="13">
        <v>2012</v>
      </c>
      <c r="J498" s="47">
        <v>4000000</v>
      </c>
      <c r="K498" s="16" t="s">
        <v>62</v>
      </c>
      <c r="L498" s="3" t="s">
        <v>109</v>
      </c>
      <c r="M498" s="3" t="s">
        <v>48</v>
      </c>
      <c r="N498" s="3" t="s">
        <v>55</v>
      </c>
    </row>
    <row r="499" spans="1:14" x14ac:dyDescent="0.3">
      <c r="A499" s="36" t="s">
        <v>37</v>
      </c>
      <c r="B499" s="13">
        <v>110</v>
      </c>
      <c r="C499" s="48" t="str">
        <f t="shared" si="17"/>
        <v>P.L. 110-140</v>
      </c>
      <c r="D499" s="3" t="s">
        <v>1001</v>
      </c>
      <c r="E499" s="3" t="s">
        <v>1015</v>
      </c>
      <c r="F499" s="3" t="s">
        <v>1016</v>
      </c>
      <c r="G499" s="48" t="str">
        <f>HYPERLINK("https://uscode.house.gov/view.xhtml?req=granuleid:USC-prelim-title42-section6342&amp;num=0&amp;edition=prelim", "42 U.S.C. 6342(i)")</f>
        <v>42 U.S.C. 6342(i)</v>
      </c>
      <c r="H499" s="46">
        <v>41182</v>
      </c>
      <c r="I499" s="13">
        <v>2012</v>
      </c>
      <c r="J499" s="47">
        <v>2000000</v>
      </c>
      <c r="K499" s="16" t="s">
        <v>62</v>
      </c>
      <c r="L499" s="3" t="s">
        <v>60</v>
      </c>
      <c r="M499" s="3" t="s">
        <v>48</v>
      </c>
      <c r="N499" s="3" t="s">
        <v>49</v>
      </c>
    </row>
    <row r="500" spans="1:14" x14ac:dyDescent="0.3">
      <c r="A500" s="36" t="s">
        <v>37</v>
      </c>
      <c r="B500" s="13">
        <v>110</v>
      </c>
      <c r="C500" s="48" t="str">
        <f t="shared" si="17"/>
        <v>P.L. 110-140</v>
      </c>
      <c r="D500" s="3" t="s">
        <v>1001</v>
      </c>
      <c r="E500" s="3" t="s">
        <v>1015</v>
      </c>
      <c r="F500" s="3" t="s">
        <v>1017</v>
      </c>
      <c r="G500" s="49"/>
      <c r="H500" s="46">
        <v>41182</v>
      </c>
      <c r="I500" s="13">
        <v>2012</v>
      </c>
      <c r="J500" s="47">
        <v>200000000</v>
      </c>
      <c r="K500" s="16" t="s">
        <v>62</v>
      </c>
      <c r="L500" s="3" t="s">
        <v>60</v>
      </c>
      <c r="M500" s="3" t="s">
        <v>48</v>
      </c>
      <c r="N500" s="3" t="s">
        <v>58</v>
      </c>
    </row>
    <row r="501" spans="1:14" x14ac:dyDescent="0.3">
      <c r="A501" s="36" t="s">
        <v>37</v>
      </c>
      <c r="B501" s="13">
        <v>110</v>
      </c>
      <c r="C501" s="48" t="str">
        <f t="shared" si="17"/>
        <v>P.L. 110-140</v>
      </c>
      <c r="D501" s="3" t="s">
        <v>1001</v>
      </c>
      <c r="E501" s="3" t="s">
        <v>1015</v>
      </c>
      <c r="F501" s="3" t="s">
        <v>1018</v>
      </c>
      <c r="G501" s="49"/>
      <c r="H501" s="46">
        <v>41182</v>
      </c>
      <c r="I501" s="13">
        <v>2012</v>
      </c>
      <c r="J501" s="47">
        <v>10000000</v>
      </c>
      <c r="K501" s="16" t="s">
        <v>62</v>
      </c>
      <c r="L501" s="3" t="s">
        <v>60</v>
      </c>
      <c r="M501" s="3" t="s">
        <v>48</v>
      </c>
      <c r="N501" s="3" t="s">
        <v>58</v>
      </c>
    </row>
    <row r="502" spans="1:14" x14ac:dyDescent="0.3">
      <c r="A502" s="36" t="s">
        <v>37</v>
      </c>
      <c r="B502" s="13">
        <v>110</v>
      </c>
      <c r="C502" s="48" t="str">
        <f t="shared" si="17"/>
        <v>P.L. 110-140</v>
      </c>
      <c r="D502" s="3" t="s">
        <v>1001</v>
      </c>
      <c r="F502" s="3" t="s">
        <v>1019</v>
      </c>
      <c r="G502" s="49"/>
      <c r="H502" s="46">
        <v>41182</v>
      </c>
      <c r="I502" s="13">
        <v>2012</v>
      </c>
      <c r="J502" s="47">
        <v>10000000</v>
      </c>
      <c r="K502" s="16" t="s">
        <v>62</v>
      </c>
      <c r="L502" s="3" t="s">
        <v>60</v>
      </c>
      <c r="M502" s="3" t="s">
        <v>48</v>
      </c>
      <c r="N502" s="3" t="s">
        <v>58</v>
      </c>
    </row>
    <row r="503" spans="1:14" x14ac:dyDescent="0.3">
      <c r="A503" s="36" t="s">
        <v>37</v>
      </c>
      <c r="B503" s="13">
        <v>110</v>
      </c>
      <c r="C503" s="48" t="str">
        <f t="shared" si="17"/>
        <v>P.L. 110-140</v>
      </c>
      <c r="D503" s="3" t="s">
        <v>1001</v>
      </c>
      <c r="E503" s="3" t="s">
        <v>1020</v>
      </c>
      <c r="F503" s="3" t="s">
        <v>1021</v>
      </c>
      <c r="G503" s="48" t="str">
        <f>HYPERLINK("https://uscode.house.gov/view.xhtml?req=granuleid:USC-prelim-title15-section2695d&amp;num=0&amp;edition=prelim", "15 U.S.C. 2695d")</f>
        <v>15 U.S.C. 2695d</v>
      </c>
      <c r="H503" s="46">
        <v>41547</v>
      </c>
      <c r="I503" s="13">
        <v>2013</v>
      </c>
      <c r="J503" s="47">
        <v>1500000</v>
      </c>
      <c r="K503" s="16" t="s">
        <v>62</v>
      </c>
      <c r="L503" s="3" t="s">
        <v>60</v>
      </c>
      <c r="M503" s="3" t="s">
        <v>48</v>
      </c>
      <c r="N503" s="3" t="s">
        <v>49</v>
      </c>
    </row>
    <row r="504" spans="1:14" x14ac:dyDescent="0.3">
      <c r="A504" s="36" t="s">
        <v>37</v>
      </c>
      <c r="B504" s="13">
        <v>110</v>
      </c>
      <c r="C504" s="48" t="str">
        <f t="shared" si="17"/>
        <v>P.L. 110-140</v>
      </c>
      <c r="D504" s="3" t="s">
        <v>1001</v>
      </c>
      <c r="E504" s="3" t="s">
        <v>1022</v>
      </c>
      <c r="F504" s="3" t="s">
        <v>1023</v>
      </c>
      <c r="G504" s="49"/>
      <c r="H504" s="46">
        <v>41182</v>
      </c>
      <c r="I504" s="13">
        <v>2012</v>
      </c>
      <c r="J504" s="47">
        <v>200000</v>
      </c>
      <c r="K504" s="16" t="s">
        <v>62</v>
      </c>
      <c r="L504" s="3" t="s">
        <v>60</v>
      </c>
      <c r="M504" s="3" t="s">
        <v>48</v>
      </c>
      <c r="N504" s="3" t="s">
        <v>49</v>
      </c>
    </row>
    <row r="505" spans="1:14" x14ac:dyDescent="0.3">
      <c r="A505" s="36" t="s">
        <v>37</v>
      </c>
      <c r="B505" s="13">
        <v>110</v>
      </c>
      <c r="C505" s="48" t="str">
        <f t="shared" si="17"/>
        <v>P.L. 110-140</v>
      </c>
      <c r="D505" s="3" t="s">
        <v>1001</v>
      </c>
      <c r="E505" s="3" t="s">
        <v>1024</v>
      </c>
      <c r="F505" s="3" t="s">
        <v>1025</v>
      </c>
      <c r="G505" s="49"/>
      <c r="H505" s="46">
        <v>41547</v>
      </c>
      <c r="I505" s="13">
        <v>2013</v>
      </c>
      <c r="J505" s="47">
        <v>250000000</v>
      </c>
      <c r="K505" s="16" t="s">
        <v>62</v>
      </c>
      <c r="L505" s="3" t="s">
        <v>60</v>
      </c>
      <c r="M505" s="3" t="s">
        <v>48</v>
      </c>
      <c r="N505" s="3" t="s">
        <v>58</v>
      </c>
    </row>
    <row r="506" spans="1:14" x14ac:dyDescent="0.3">
      <c r="A506" s="36" t="s">
        <v>37</v>
      </c>
      <c r="B506" s="13">
        <v>110</v>
      </c>
      <c r="C506" s="48" t="str">
        <f t="shared" si="17"/>
        <v>P.L. 110-140</v>
      </c>
      <c r="D506" s="3" t="s">
        <v>1001</v>
      </c>
      <c r="E506" s="3" t="s">
        <v>1024</v>
      </c>
      <c r="F506" s="3" t="s">
        <v>1026</v>
      </c>
      <c r="G506" s="49"/>
      <c r="H506" s="46">
        <v>41547</v>
      </c>
      <c r="I506" s="13">
        <v>2013</v>
      </c>
      <c r="J506" s="47">
        <v>500000000</v>
      </c>
      <c r="K506" s="16" t="s">
        <v>62</v>
      </c>
      <c r="L506" s="3" t="s">
        <v>60</v>
      </c>
      <c r="M506" s="3" t="s">
        <v>48</v>
      </c>
      <c r="N506" s="3" t="s">
        <v>58</v>
      </c>
    </row>
    <row r="507" spans="1:14" x14ac:dyDescent="0.3">
      <c r="A507" s="36" t="s">
        <v>37</v>
      </c>
      <c r="B507" s="13">
        <v>110</v>
      </c>
      <c r="C507" s="48" t="str">
        <f t="shared" si="17"/>
        <v>P.L. 110-140</v>
      </c>
      <c r="D507" s="3" t="s">
        <v>1001</v>
      </c>
      <c r="E507" s="3" t="s">
        <v>1027</v>
      </c>
      <c r="F507" s="3" t="s">
        <v>1028</v>
      </c>
      <c r="G507" s="49"/>
      <c r="H507" s="46">
        <v>41182</v>
      </c>
      <c r="I507" s="13">
        <v>2012</v>
      </c>
      <c r="J507" s="47">
        <v>10000000</v>
      </c>
      <c r="K507" s="16" t="s">
        <v>62</v>
      </c>
      <c r="L507" s="3" t="s">
        <v>60</v>
      </c>
      <c r="M507" s="3" t="s">
        <v>48</v>
      </c>
      <c r="N507" s="3" t="s">
        <v>55</v>
      </c>
    </row>
    <row r="508" spans="1:14" x14ac:dyDescent="0.3">
      <c r="A508" s="36" t="s">
        <v>37</v>
      </c>
      <c r="B508" s="13">
        <v>110</v>
      </c>
      <c r="C508" s="48" t="str">
        <f t="shared" si="17"/>
        <v>P.L. 110-140</v>
      </c>
      <c r="D508" s="3" t="s">
        <v>1001</v>
      </c>
      <c r="E508" s="3" t="s">
        <v>1027</v>
      </c>
      <c r="F508" s="3" t="s">
        <v>1029</v>
      </c>
      <c r="G508" s="49"/>
      <c r="H508" s="46">
        <v>41182</v>
      </c>
      <c r="I508" s="13">
        <v>2012</v>
      </c>
      <c r="J508" s="47">
        <v>10000000</v>
      </c>
      <c r="K508" s="16" t="s">
        <v>62</v>
      </c>
      <c r="L508" s="3" t="s">
        <v>60</v>
      </c>
      <c r="M508" s="3" t="s">
        <v>48</v>
      </c>
      <c r="N508" s="3" t="s">
        <v>58</v>
      </c>
    </row>
    <row r="509" spans="1:14" x14ac:dyDescent="0.3">
      <c r="A509" s="36" t="s">
        <v>37</v>
      </c>
      <c r="B509" s="13">
        <v>110</v>
      </c>
      <c r="C509" s="48" t="str">
        <f t="shared" si="17"/>
        <v>P.L. 110-140</v>
      </c>
      <c r="D509" s="3" t="s">
        <v>1001</v>
      </c>
      <c r="E509" s="3" t="s">
        <v>1030</v>
      </c>
      <c r="F509" s="3" t="s">
        <v>1031</v>
      </c>
      <c r="G509" s="48" t="str">
        <f>HYPERLINK("https://uscode.house.gov/view.xhtml?req=granuleid:USC-prelim-title42-section7628&amp;num=0&amp;edition=prelim", "42 U.S.C. 7628(d)")</f>
        <v>42 U.S.C. 7628(d)</v>
      </c>
      <c r="H509" s="46">
        <v>41182</v>
      </c>
      <c r="I509" s="13">
        <v>2012</v>
      </c>
      <c r="J509" s="47">
        <v>20000000</v>
      </c>
      <c r="K509" s="16" t="s">
        <v>62</v>
      </c>
      <c r="L509" s="3" t="s">
        <v>60</v>
      </c>
      <c r="M509" s="3" t="s">
        <v>48</v>
      </c>
      <c r="N509" s="3" t="s">
        <v>49</v>
      </c>
    </row>
    <row r="510" spans="1:14" x14ac:dyDescent="0.3">
      <c r="A510" s="36" t="s">
        <v>37</v>
      </c>
      <c r="B510" s="13">
        <v>110</v>
      </c>
      <c r="C510" s="48" t="str">
        <f t="shared" si="17"/>
        <v>P.L. 110-140</v>
      </c>
      <c r="D510" s="3" t="s">
        <v>1001</v>
      </c>
      <c r="F510" s="3" t="s">
        <v>1032</v>
      </c>
      <c r="G510" s="49"/>
      <c r="H510" s="46">
        <v>41182</v>
      </c>
      <c r="I510" s="13">
        <v>2012</v>
      </c>
      <c r="J510" s="47">
        <v>750000</v>
      </c>
      <c r="K510" s="16" t="s">
        <v>62</v>
      </c>
      <c r="L510" s="3" t="s">
        <v>60</v>
      </c>
      <c r="M510" s="3" t="s">
        <v>48</v>
      </c>
      <c r="N510" s="3" t="s">
        <v>58</v>
      </c>
    </row>
    <row r="511" spans="1:14" x14ac:dyDescent="0.3">
      <c r="A511" s="36" t="s">
        <v>37</v>
      </c>
      <c r="B511" s="13">
        <v>110</v>
      </c>
      <c r="C511" s="48" t="str">
        <f t="shared" si="17"/>
        <v>P.L. 110-140</v>
      </c>
      <c r="D511" s="3" t="s">
        <v>1001</v>
      </c>
      <c r="E511" s="3" t="s">
        <v>1033</v>
      </c>
      <c r="F511" s="3" t="s">
        <v>1034</v>
      </c>
      <c r="G511" s="49"/>
      <c r="H511" s="46">
        <v>40451</v>
      </c>
      <c r="I511" s="13">
        <v>2010</v>
      </c>
      <c r="J511" s="47">
        <v>10000000</v>
      </c>
      <c r="K511" s="16" t="s">
        <v>62</v>
      </c>
      <c r="L511" s="3" t="s">
        <v>60</v>
      </c>
      <c r="M511" s="3" t="s">
        <v>48</v>
      </c>
      <c r="N511" s="3" t="s">
        <v>58</v>
      </c>
    </row>
    <row r="512" spans="1:14" x14ac:dyDescent="0.3">
      <c r="A512" s="36" t="s">
        <v>37</v>
      </c>
      <c r="B512" s="13">
        <v>110</v>
      </c>
      <c r="C512" s="48" t="str">
        <f t="shared" si="17"/>
        <v>P.L. 110-140</v>
      </c>
      <c r="D512" s="3" t="s">
        <v>1001</v>
      </c>
      <c r="E512" s="3" t="s">
        <v>1035</v>
      </c>
      <c r="F512" s="3" t="s">
        <v>1036</v>
      </c>
      <c r="G512" s="49"/>
      <c r="H512" s="46">
        <v>41182</v>
      </c>
      <c r="I512" s="13">
        <v>2012</v>
      </c>
      <c r="J512" s="47">
        <v>125000000</v>
      </c>
      <c r="K512" s="16" t="s">
        <v>62</v>
      </c>
      <c r="L512" s="3" t="s">
        <v>60</v>
      </c>
      <c r="M512" s="3" t="s">
        <v>48</v>
      </c>
      <c r="N512" s="3" t="s">
        <v>58</v>
      </c>
    </row>
    <row r="513" spans="1:14" x14ac:dyDescent="0.3">
      <c r="A513" s="36" t="s">
        <v>37</v>
      </c>
      <c r="B513" s="13">
        <v>110</v>
      </c>
      <c r="C513" s="48" t="str">
        <f t="shared" si="17"/>
        <v>P.L. 110-140</v>
      </c>
      <c r="D513" s="3" t="s">
        <v>1001</v>
      </c>
      <c r="E513" s="3" t="s">
        <v>1037</v>
      </c>
      <c r="F513" s="3" t="s">
        <v>1038</v>
      </c>
      <c r="G513" s="49"/>
      <c r="H513" s="46">
        <v>41182</v>
      </c>
      <c r="I513" s="13">
        <v>2012</v>
      </c>
      <c r="J513" s="47">
        <v>30000000</v>
      </c>
      <c r="K513" s="16" t="s">
        <v>62</v>
      </c>
      <c r="L513" s="3" t="s">
        <v>60</v>
      </c>
      <c r="M513" s="3" t="s">
        <v>48</v>
      </c>
      <c r="N513" s="3" t="s">
        <v>58</v>
      </c>
    </row>
    <row r="514" spans="1:14" x14ac:dyDescent="0.3">
      <c r="A514" s="36" t="s">
        <v>37</v>
      </c>
      <c r="B514" s="13">
        <v>110</v>
      </c>
      <c r="C514" s="48" t="str">
        <f t="shared" si="17"/>
        <v>P.L. 110-140</v>
      </c>
      <c r="D514" s="3" t="s">
        <v>1001</v>
      </c>
      <c r="F514" s="3" t="s">
        <v>1039</v>
      </c>
      <c r="G514" s="49"/>
      <c r="H514" s="46">
        <v>41182</v>
      </c>
      <c r="I514" s="13">
        <v>2012</v>
      </c>
      <c r="J514" s="47">
        <v>12000000</v>
      </c>
      <c r="K514" s="16" t="s">
        <v>62</v>
      </c>
      <c r="L514" s="3" t="s">
        <v>60</v>
      </c>
      <c r="M514" s="3" t="s">
        <v>48</v>
      </c>
      <c r="N514" s="3" t="s">
        <v>58</v>
      </c>
    </row>
    <row r="515" spans="1:14" x14ac:dyDescent="0.3">
      <c r="A515" s="36" t="s">
        <v>37</v>
      </c>
      <c r="B515" s="13">
        <v>110</v>
      </c>
      <c r="C515" s="48" t="str">
        <f t="shared" si="17"/>
        <v>P.L. 110-140</v>
      </c>
      <c r="D515" s="3" t="s">
        <v>1001</v>
      </c>
      <c r="F515" s="3" t="s">
        <v>1040</v>
      </c>
      <c r="G515" s="49"/>
      <c r="H515" s="46">
        <v>41182</v>
      </c>
      <c r="I515" s="13">
        <v>2012</v>
      </c>
      <c r="J515" s="47">
        <v>10000000</v>
      </c>
      <c r="K515" s="16" t="s">
        <v>62</v>
      </c>
      <c r="L515" s="3" t="s">
        <v>60</v>
      </c>
      <c r="M515" s="3" t="s">
        <v>48</v>
      </c>
      <c r="N515" s="3" t="s">
        <v>58</v>
      </c>
    </row>
    <row r="516" spans="1:14" x14ac:dyDescent="0.3">
      <c r="A516" s="36" t="s">
        <v>37</v>
      </c>
      <c r="B516" s="13">
        <v>110</v>
      </c>
      <c r="C516" s="48" t="str">
        <f t="shared" si="17"/>
        <v>P.L. 110-140</v>
      </c>
      <c r="D516" s="3" t="s">
        <v>1001</v>
      </c>
      <c r="F516" s="3" t="s">
        <v>1041</v>
      </c>
      <c r="G516" s="49"/>
      <c r="H516" s="46">
        <v>41182</v>
      </c>
      <c r="I516" s="13">
        <v>2012</v>
      </c>
      <c r="J516" s="47">
        <v>3500000</v>
      </c>
      <c r="K516" s="16" t="s">
        <v>62</v>
      </c>
      <c r="L516" s="3" t="s">
        <v>60</v>
      </c>
      <c r="M516" s="3" t="s">
        <v>48</v>
      </c>
      <c r="N516" s="3" t="s">
        <v>58</v>
      </c>
    </row>
    <row r="517" spans="1:14" x14ac:dyDescent="0.3">
      <c r="A517" s="36" t="s">
        <v>37</v>
      </c>
      <c r="B517" s="13">
        <v>110</v>
      </c>
      <c r="C517" s="48" t="str">
        <f t="shared" si="17"/>
        <v>P.L. 110-140</v>
      </c>
      <c r="D517" s="3" t="s">
        <v>1001</v>
      </c>
      <c r="F517" s="3" t="s">
        <v>1042</v>
      </c>
      <c r="G517" s="49"/>
      <c r="H517" s="46">
        <v>41182</v>
      </c>
      <c r="I517" s="13">
        <v>2012</v>
      </c>
      <c r="J517" s="47">
        <v>2500000</v>
      </c>
      <c r="K517" s="16" t="s">
        <v>62</v>
      </c>
      <c r="L517" s="3" t="s">
        <v>60</v>
      </c>
      <c r="M517" s="3" t="s">
        <v>48</v>
      </c>
      <c r="N517" s="3" t="s">
        <v>58</v>
      </c>
    </row>
    <row r="518" spans="1:14" x14ac:dyDescent="0.3">
      <c r="A518" s="36" t="s">
        <v>37</v>
      </c>
      <c r="B518" s="13">
        <v>110</v>
      </c>
      <c r="C518" s="48" t="str">
        <f t="shared" si="17"/>
        <v>P.L. 110-140</v>
      </c>
      <c r="D518" s="3" t="s">
        <v>1001</v>
      </c>
      <c r="F518" s="3" t="s">
        <v>1043</v>
      </c>
      <c r="G518" s="49"/>
      <c r="H518" s="46">
        <v>41182</v>
      </c>
      <c r="I518" s="13">
        <v>2012</v>
      </c>
      <c r="J518" s="47">
        <v>70000000</v>
      </c>
      <c r="K518" s="16" t="s">
        <v>62</v>
      </c>
      <c r="L518" s="3" t="s">
        <v>60</v>
      </c>
      <c r="M518" s="3" t="s">
        <v>48</v>
      </c>
      <c r="N518" s="3" t="s">
        <v>58</v>
      </c>
    </row>
    <row r="519" spans="1:14" x14ac:dyDescent="0.3">
      <c r="A519" s="36" t="s">
        <v>37</v>
      </c>
      <c r="B519" s="13">
        <v>110</v>
      </c>
      <c r="C519" s="48" t="str">
        <f t="shared" si="17"/>
        <v>P.L. 110-140</v>
      </c>
      <c r="D519" s="3" t="s">
        <v>1001</v>
      </c>
      <c r="E519" s="3" t="s">
        <v>1044</v>
      </c>
      <c r="F519" s="3" t="s">
        <v>1045</v>
      </c>
      <c r="G519" s="49"/>
      <c r="H519" s="46">
        <v>43373</v>
      </c>
      <c r="I519" s="13">
        <v>2018</v>
      </c>
      <c r="J519" s="47">
        <v>50000000</v>
      </c>
      <c r="K519" s="16" t="s">
        <v>62</v>
      </c>
      <c r="L519" s="3" t="s">
        <v>60</v>
      </c>
      <c r="M519" s="3" t="s">
        <v>48</v>
      </c>
      <c r="N519" s="3" t="s">
        <v>58</v>
      </c>
    </row>
    <row r="520" spans="1:14" x14ac:dyDescent="0.3">
      <c r="A520" s="36" t="s">
        <v>37</v>
      </c>
      <c r="B520" s="13">
        <v>110</v>
      </c>
      <c r="C520" s="48" t="str">
        <f t="shared" si="17"/>
        <v>P.L. 110-140</v>
      </c>
      <c r="D520" s="3" t="s">
        <v>1001</v>
      </c>
      <c r="E520" s="3" t="s">
        <v>1046</v>
      </c>
      <c r="F520" s="3" t="s">
        <v>1047</v>
      </c>
      <c r="G520" s="49"/>
      <c r="H520" s="46">
        <v>43373</v>
      </c>
      <c r="I520" s="13">
        <v>2018</v>
      </c>
      <c r="J520" s="47">
        <v>80000000</v>
      </c>
      <c r="K520" s="16" t="s">
        <v>62</v>
      </c>
      <c r="L520" s="3" t="s">
        <v>60</v>
      </c>
      <c r="M520" s="3" t="s">
        <v>48</v>
      </c>
      <c r="N520" s="3" t="s">
        <v>58</v>
      </c>
    </row>
    <row r="521" spans="1:14" x14ac:dyDescent="0.3">
      <c r="A521" s="36" t="s">
        <v>37</v>
      </c>
      <c r="B521" s="13">
        <v>110</v>
      </c>
      <c r="C521" s="48" t="str">
        <f t="shared" si="17"/>
        <v>P.L. 110-140</v>
      </c>
      <c r="D521" s="3" t="s">
        <v>1001</v>
      </c>
      <c r="E521" s="3" t="s">
        <v>1048</v>
      </c>
      <c r="F521" s="3" t="s">
        <v>1049</v>
      </c>
      <c r="G521" s="49"/>
      <c r="H521" s="46">
        <v>43373</v>
      </c>
      <c r="I521" s="13">
        <v>2018</v>
      </c>
      <c r="J521" s="47">
        <v>100000000</v>
      </c>
      <c r="K521" s="16" t="s">
        <v>62</v>
      </c>
      <c r="L521" s="3" t="s">
        <v>60</v>
      </c>
      <c r="M521" s="3" t="s">
        <v>48</v>
      </c>
      <c r="N521" s="3" t="s">
        <v>58</v>
      </c>
    </row>
    <row r="522" spans="1:14" x14ac:dyDescent="0.3">
      <c r="A522" s="36" t="s">
        <v>37</v>
      </c>
      <c r="B522" s="13">
        <v>110</v>
      </c>
      <c r="C522" s="48" t="str">
        <f t="shared" ref="C522:C545" si="18">HYPERLINK("https://uscode.house.gov/statutes/pl/110/140.pdf", "P.L. 110-140")</f>
        <v>P.L. 110-140</v>
      </c>
      <c r="D522" s="3" t="s">
        <v>1001</v>
      </c>
      <c r="E522" s="3" t="s">
        <v>1050</v>
      </c>
      <c r="F522" s="3" t="s">
        <v>1051</v>
      </c>
      <c r="G522" s="49"/>
      <c r="H522" s="46">
        <v>43373</v>
      </c>
      <c r="I522" s="13">
        <v>2018</v>
      </c>
      <c r="J522" s="47">
        <v>30000000</v>
      </c>
      <c r="K522" s="16" t="s">
        <v>62</v>
      </c>
      <c r="L522" s="3" t="s">
        <v>60</v>
      </c>
      <c r="M522" s="3" t="s">
        <v>48</v>
      </c>
      <c r="N522" s="3" t="s">
        <v>58</v>
      </c>
    </row>
    <row r="523" spans="1:14" x14ac:dyDescent="0.3">
      <c r="A523" s="36" t="s">
        <v>37</v>
      </c>
      <c r="B523" s="13">
        <v>110</v>
      </c>
      <c r="C523" s="48" t="str">
        <f t="shared" si="18"/>
        <v>P.L. 110-140</v>
      </c>
      <c r="D523" s="3" t="s">
        <v>1001</v>
      </c>
      <c r="E523" s="3" t="s">
        <v>1052</v>
      </c>
      <c r="F523" s="3" t="s">
        <v>1053</v>
      </c>
      <c r="G523" s="49"/>
      <c r="H523" s="46">
        <v>43373</v>
      </c>
      <c r="I523" s="13">
        <v>2018</v>
      </c>
      <c r="J523" s="47">
        <v>30000000</v>
      </c>
      <c r="K523" s="16" t="s">
        <v>62</v>
      </c>
      <c r="L523" s="3" t="s">
        <v>60</v>
      </c>
      <c r="M523" s="3" t="s">
        <v>48</v>
      </c>
      <c r="N523" s="3" t="s">
        <v>58</v>
      </c>
    </row>
    <row r="524" spans="1:14" x14ac:dyDescent="0.3">
      <c r="A524" s="36" t="s">
        <v>37</v>
      </c>
      <c r="B524" s="13">
        <v>110</v>
      </c>
      <c r="C524" s="48" t="str">
        <f t="shared" si="18"/>
        <v>P.L. 110-140</v>
      </c>
      <c r="D524" s="3" t="s">
        <v>1001</v>
      </c>
      <c r="F524" s="3" t="s">
        <v>1054</v>
      </c>
      <c r="G524" s="49"/>
      <c r="H524" s="46">
        <v>41182</v>
      </c>
      <c r="I524" s="13">
        <v>2012</v>
      </c>
      <c r="J524" s="47">
        <v>80000000</v>
      </c>
      <c r="K524" s="16" t="s">
        <v>62</v>
      </c>
      <c r="L524" s="3" t="s">
        <v>60</v>
      </c>
      <c r="M524" s="3" t="s">
        <v>48</v>
      </c>
      <c r="N524" s="3" t="s">
        <v>58</v>
      </c>
    </row>
    <row r="525" spans="1:14" x14ac:dyDescent="0.3">
      <c r="A525" s="36" t="s">
        <v>37</v>
      </c>
      <c r="B525" s="13">
        <v>110</v>
      </c>
      <c r="C525" s="48" t="str">
        <f t="shared" si="18"/>
        <v>P.L. 110-140</v>
      </c>
      <c r="D525" s="3" t="s">
        <v>1001</v>
      </c>
      <c r="F525" s="3" t="s">
        <v>1055</v>
      </c>
      <c r="G525" s="49"/>
      <c r="H525" s="46">
        <v>41912</v>
      </c>
      <c r="I525" s="13">
        <v>2014</v>
      </c>
      <c r="J525" s="47">
        <v>8000000</v>
      </c>
      <c r="K525" s="16" t="s">
        <v>62</v>
      </c>
      <c r="L525" s="3" t="s">
        <v>60</v>
      </c>
      <c r="M525" s="3" t="s">
        <v>48</v>
      </c>
      <c r="N525" s="3" t="s">
        <v>58</v>
      </c>
    </row>
    <row r="526" spans="1:14" x14ac:dyDescent="0.3">
      <c r="A526" s="36" t="s">
        <v>37</v>
      </c>
      <c r="B526" s="13">
        <v>110</v>
      </c>
      <c r="C526" s="48" t="str">
        <f t="shared" si="18"/>
        <v>P.L. 110-140</v>
      </c>
      <c r="D526" s="3" t="s">
        <v>1001</v>
      </c>
      <c r="F526" s="3" t="s">
        <v>1056</v>
      </c>
      <c r="G526" s="49"/>
      <c r="H526" s="46">
        <v>43008</v>
      </c>
      <c r="I526" s="13">
        <v>2017</v>
      </c>
      <c r="J526" s="47">
        <v>50000000</v>
      </c>
      <c r="K526" s="16" t="s">
        <v>62</v>
      </c>
      <c r="L526" s="3" t="s">
        <v>60</v>
      </c>
      <c r="M526" s="3" t="s">
        <v>48</v>
      </c>
      <c r="N526" s="3" t="s">
        <v>58</v>
      </c>
    </row>
    <row r="527" spans="1:14" x14ac:dyDescent="0.3">
      <c r="A527" s="36" t="s">
        <v>37</v>
      </c>
      <c r="B527" s="13">
        <v>110</v>
      </c>
      <c r="C527" s="48" t="str">
        <f t="shared" si="18"/>
        <v>P.L. 110-140</v>
      </c>
      <c r="D527" s="3" t="s">
        <v>1001</v>
      </c>
      <c r="E527" s="3" t="s">
        <v>1057</v>
      </c>
      <c r="F527" s="3" t="s">
        <v>1058</v>
      </c>
      <c r="G527" s="49"/>
      <c r="H527" s="46">
        <v>40086</v>
      </c>
      <c r="I527" s="13">
        <v>2009</v>
      </c>
      <c r="J527" s="47">
        <v>2000000</v>
      </c>
      <c r="K527" s="16" t="s">
        <v>62</v>
      </c>
      <c r="L527" s="3" t="s">
        <v>135</v>
      </c>
      <c r="M527" s="3" t="s">
        <v>48</v>
      </c>
      <c r="N527" s="3" t="s">
        <v>58</v>
      </c>
    </row>
    <row r="528" spans="1:14" x14ac:dyDescent="0.3">
      <c r="A528" s="36" t="s">
        <v>37</v>
      </c>
      <c r="B528" s="13">
        <v>110</v>
      </c>
      <c r="C528" s="48" t="str">
        <f t="shared" si="18"/>
        <v>P.L. 110-140</v>
      </c>
      <c r="D528" s="3" t="s">
        <v>1001</v>
      </c>
      <c r="F528" s="3" t="s">
        <v>1059</v>
      </c>
      <c r="G528" s="49"/>
      <c r="H528" s="46">
        <v>41547</v>
      </c>
      <c r="I528" s="13">
        <v>2013</v>
      </c>
      <c r="J528" s="47">
        <v>25000000</v>
      </c>
      <c r="K528" s="16" t="s">
        <v>62</v>
      </c>
      <c r="L528" s="3" t="s">
        <v>60</v>
      </c>
      <c r="M528" s="3" t="s">
        <v>48</v>
      </c>
      <c r="N528" s="3" t="s">
        <v>58</v>
      </c>
    </row>
    <row r="529" spans="1:14" x14ac:dyDescent="0.3">
      <c r="A529" s="36" t="s">
        <v>37</v>
      </c>
      <c r="B529" s="13">
        <v>110</v>
      </c>
      <c r="C529" s="48" t="str">
        <f t="shared" si="18"/>
        <v>P.L. 110-140</v>
      </c>
      <c r="D529" s="3" t="s">
        <v>1001</v>
      </c>
      <c r="E529" s="3" t="s">
        <v>940</v>
      </c>
      <c r="F529" s="3" t="s">
        <v>1060</v>
      </c>
      <c r="G529" s="49"/>
      <c r="H529" s="46">
        <v>41547</v>
      </c>
      <c r="I529" s="13">
        <v>2013</v>
      </c>
      <c r="J529" s="47">
        <v>200000000</v>
      </c>
      <c r="K529" s="16" t="s">
        <v>62</v>
      </c>
      <c r="L529" s="3" t="s">
        <v>60</v>
      </c>
      <c r="M529" s="3" t="s">
        <v>48</v>
      </c>
      <c r="N529" s="3" t="s">
        <v>58</v>
      </c>
    </row>
    <row r="530" spans="1:14" x14ac:dyDescent="0.3">
      <c r="A530" s="36" t="s">
        <v>37</v>
      </c>
      <c r="B530" s="13">
        <v>110</v>
      </c>
      <c r="C530" s="48" t="str">
        <f t="shared" si="18"/>
        <v>P.L. 110-140</v>
      </c>
      <c r="D530" s="3" t="s">
        <v>1001</v>
      </c>
      <c r="F530" s="3" t="s">
        <v>1061</v>
      </c>
      <c r="G530" s="49"/>
      <c r="H530" s="46">
        <v>41182</v>
      </c>
      <c r="I530" s="13">
        <v>2012</v>
      </c>
      <c r="J530" s="47">
        <v>20000000</v>
      </c>
      <c r="K530" s="16" t="s">
        <v>62</v>
      </c>
      <c r="L530" s="3" t="s">
        <v>60</v>
      </c>
      <c r="M530" s="3" t="s">
        <v>48</v>
      </c>
      <c r="N530" s="3" t="s">
        <v>58</v>
      </c>
    </row>
    <row r="531" spans="1:14" x14ac:dyDescent="0.3">
      <c r="A531" s="36" t="s">
        <v>37</v>
      </c>
      <c r="B531" s="13">
        <v>110</v>
      </c>
      <c r="C531" s="48" t="str">
        <f t="shared" si="18"/>
        <v>P.L. 110-140</v>
      </c>
      <c r="D531" s="3" t="s">
        <v>1001</v>
      </c>
      <c r="E531" s="3" t="s">
        <v>326</v>
      </c>
      <c r="F531" s="3" t="s">
        <v>1062</v>
      </c>
      <c r="G531" s="49"/>
      <c r="H531" s="46">
        <v>41182</v>
      </c>
      <c r="I531" s="13">
        <v>2012</v>
      </c>
      <c r="J531" s="47">
        <v>5000000</v>
      </c>
      <c r="K531" s="16" t="s">
        <v>62</v>
      </c>
      <c r="L531" s="3" t="s">
        <v>60</v>
      </c>
      <c r="M531" s="3" t="s">
        <v>48</v>
      </c>
      <c r="N531" s="3" t="s">
        <v>58</v>
      </c>
    </row>
    <row r="532" spans="1:14" x14ac:dyDescent="0.3">
      <c r="A532" s="36" t="s">
        <v>37</v>
      </c>
      <c r="B532" s="13">
        <v>110</v>
      </c>
      <c r="C532" s="48" t="str">
        <f t="shared" si="18"/>
        <v>P.L. 110-140</v>
      </c>
      <c r="D532" s="3" t="s">
        <v>1001</v>
      </c>
      <c r="E532" s="3" t="s">
        <v>703</v>
      </c>
      <c r="F532" s="3" t="s">
        <v>1063</v>
      </c>
      <c r="G532" s="48" t="str">
        <f>HYPERLINK("https://uscode.house.gov/view.xhtml?req=granuleid:USC-prelim-title42-section17052&amp;num=0&amp;edition=prelim", "42 U.S.C. 17052(f)")</f>
        <v>42 U.S.C. 17052(f)</v>
      </c>
      <c r="H532" s="46">
        <v>41182</v>
      </c>
      <c r="I532" s="13">
        <v>2012</v>
      </c>
      <c r="J532" s="47">
        <v>200000000</v>
      </c>
      <c r="K532" s="16" t="s">
        <v>62</v>
      </c>
      <c r="L532" s="3" t="s">
        <v>60</v>
      </c>
      <c r="M532" s="3" t="s">
        <v>48</v>
      </c>
      <c r="N532" s="3" t="s">
        <v>82</v>
      </c>
    </row>
    <row r="533" spans="1:14" x14ac:dyDescent="0.3">
      <c r="A533" s="36" t="s">
        <v>37</v>
      </c>
      <c r="B533" s="13">
        <v>110</v>
      </c>
      <c r="C533" s="48" t="str">
        <f t="shared" si="18"/>
        <v>P.L. 110-140</v>
      </c>
      <c r="D533" s="3" t="s">
        <v>1001</v>
      </c>
      <c r="E533" s="3" t="s">
        <v>705</v>
      </c>
      <c r="F533" s="3" t="s">
        <v>1064</v>
      </c>
      <c r="G533" s="49"/>
      <c r="H533" s="46">
        <v>41182</v>
      </c>
      <c r="I533" s="13">
        <v>2012</v>
      </c>
      <c r="J533" s="16" t="s">
        <v>12</v>
      </c>
      <c r="K533" s="16" t="s">
        <v>62</v>
      </c>
      <c r="L533" s="3" t="s">
        <v>60</v>
      </c>
      <c r="M533" s="3" t="s">
        <v>48</v>
      </c>
      <c r="N533" s="3" t="s">
        <v>43</v>
      </c>
    </row>
    <row r="534" spans="1:14" x14ac:dyDescent="0.3">
      <c r="A534" s="36" t="s">
        <v>37</v>
      </c>
      <c r="B534" s="13">
        <v>110</v>
      </c>
      <c r="C534" s="48" t="str">
        <f t="shared" si="18"/>
        <v>P.L. 110-140</v>
      </c>
      <c r="D534" s="3" t="s">
        <v>1001</v>
      </c>
      <c r="E534" s="3" t="s">
        <v>1065</v>
      </c>
      <c r="F534" s="3" t="s">
        <v>1066</v>
      </c>
      <c r="G534" s="49"/>
      <c r="H534" s="46">
        <v>41182</v>
      </c>
      <c r="I534" s="13">
        <v>2012</v>
      </c>
      <c r="J534" s="16" t="s">
        <v>12</v>
      </c>
      <c r="K534" s="16" t="s">
        <v>62</v>
      </c>
      <c r="L534" s="3" t="s">
        <v>60</v>
      </c>
      <c r="M534" s="3" t="s">
        <v>48</v>
      </c>
      <c r="N534" s="3" t="s">
        <v>43</v>
      </c>
    </row>
    <row r="535" spans="1:14" x14ac:dyDescent="0.3">
      <c r="A535" s="36" t="s">
        <v>37</v>
      </c>
      <c r="B535" s="13">
        <v>110</v>
      </c>
      <c r="C535" s="48" t="str">
        <f t="shared" si="18"/>
        <v>P.L. 110-140</v>
      </c>
      <c r="D535" s="3" t="s">
        <v>1001</v>
      </c>
      <c r="E535" s="3" t="s">
        <v>1067</v>
      </c>
      <c r="F535" s="3" t="s">
        <v>1068</v>
      </c>
      <c r="G535" s="49"/>
      <c r="H535" s="46">
        <v>44104</v>
      </c>
      <c r="I535" s="13">
        <v>2020</v>
      </c>
      <c r="J535" s="47">
        <v>5000000</v>
      </c>
      <c r="K535" s="16" t="s">
        <v>62</v>
      </c>
      <c r="L535" s="3" t="s">
        <v>60</v>
      </c>
      <c r="M535" s="3" t="s">
        <v>48</v>
      </c>
      <c r="N535" s="3" t="s">
        <v>55</v>
      </c>
    </row>
    <row r="536" spans="1:14" x14ac:dyDescent="0.3">
      <c r="A536" s="36" t="s">
        <v>37</v>
      </c>
      <c r="B536" s="13">
        <v>110</v>
      </c>
      <c r="C536" s="48" t="str">
        <f t="shared" si="18"/>
        <v>P.L. 110-140</v>
      </c>
      <c r="D536" s="3" t="s">
        <v>1001</v>
      </c>
      <c r="F536" s="3" t="s">
        <v>1069</v>
      </c>
      <c r="G536" s="49"/>
      <c r="H536" s="46">
        <v>41547</v>
      </c>
      <c r="I536" s="13">
        <v>2013</v>
      </c>
      <c r="J536" s="47">
        <v>20000000</v>
      </c>
      <c r="K536" s="16" t="s">
        <v>62</v>
      </c>
      <c r="L536" s="3" t="s">
        <v>60</v>
      </c>
      <c r="M536" s="3" t="s">
        <v>48</v>
      </c>
      <c r="N536" s="3" t="s">
        <v>58</v>
      </c>
    </row>
    <row r="537" spans="1:14" x14ac:dyDescent="0.3">
      <c r="A537" s="36" t="s">
        <v>37</v>
      </c>
      <c r="B537" s="13">
        <v>110</v>
      </c>
      <c r="C537" s="48" t="str">
        <f t="shared" si="18"/>
        <v>P.L. 110-140</v>
      </c>
      <c r="D537" s="3" t="s">
        <v>1001</v>
      </c>
      <c r="F537" s="3" t="s">
        <v>1070</v>
      </c>
      <c r="G537" s="49"/>
      <c r="H537" s="46">
        <v>40816</v>
      </c>
      <c r="I537" s="13">
        <v>2011</v>
      </c>
      <c r="J537" s="16" t="s">
        <v>12</v>
      </c>
      <c r="K537" s="16" t="s">
        <v>62</v>
      </c>
      <c r="L537" s="3" t="s">
        <v>60</v>
      </c>
      <c r="M537" s="3" t="s">
        <v>48</v>
      </c>
      <c r="N537" s="3" t="s">
        <v>158</v>
      </c>
    </row>
    <row r="538" spans="1:14" x14ac:dyDescent="0.3">
      <c r="A538" s="36" t="s">
        <v>37</v>
      </c>
      <c r="B538" s="13">
        <v>110</v>
      </c>
      <c r="C538" s="48" t="str">
        <f t="shared" si="18"/>
        <v>P.L. 110-140</v>
      </c>
      <c r="D538" s="3" t="s">
        <v>1001</v>
      </c>
      <c r="F538" s="3" t="s">
        <v>1071</v>
      </c>
      <c r="G538" s="49"/>
      <c r="H538" s="46">
        <v>40816</v>
      </c>
      <c r="I538" s="13">
        <v>2011</v>
      </c>
      <c r="J538" s="47">
        <v>10000000</v>
      </c>
      <c r="K538" s="16" t="s">
        <v>62</v>
      </c>
      <c r="L538" s="3" t="s">
        <v>60</v>
      </c>
      <c r="M538" s="3" t="s">
        <v>48</v>
      </c>
      <c r="N538" s="3" t="s">
        <v>158</v>
      </c>
    </row>
    <row r="539" spans="1:14" x14ac:dyDescent="0.3">
      <c r="A539" s="36" t="s">
        <v>37</v>
      </c>
      <c r="B539" s="13">
        <v>110</v>
      </c>
      <c r="C539" s="48" t="str">
        <f t="shared" si="18"/>
        <v>P.L. 110-140</v>
      </c>
      <c r="D539" s="3" t="s">
        <v>1001</v>
      </c>
      <c r="F539" s="3" t="s">
        <v>1072</v>
      </c>
      <c r="G539" s="49"/>
      <c r="H539" s="46">
        <v>40816</v>
      </c>
      <c r="I539" s="13">
        <v>2011</v>
      </c>
      <c r="J539" s="47">
        <v>50000000</v>
      </c>
      <c r="K539" s="16" t="s">
        <v>62</v>
      </c>
      <c r="L539" s="3" t="s">
        <v>60</v>
      </c>
      <c r="M539" s="3" t="s">
        <v>48</v>
      </c>
      <c r="N539" s="3" t="s">
        <v>158</v>
      </c>
    </row>
    <row r="540" spans="1:14" x14ac:dyDescent="0.3">
      <c r="A540" s="36" t="s">
        <v>37</v>
      </c>
      <c r="B540" s="13">
        <v>110</v>
      </c>
      <c r="C540" s="48" t="str">
        <f t="shared" si="18"/>
        <v>P.L. 110-140</v>
      </c>
      <c r="D540" s="3" t="s">
        <v>1001</v>
      </c>
      <c r="F540" s="3" t="s">
        <v>1073</v>
      </c>
      <c r="G540" s="49"/>
      <c r="H540" s="46">
        <v>44104</v>
      </c>
      <c r="I540" s="13">
        <v>2020</v>
      </c>
      <c r="J540" s="16" t="s">
        <v>12</v>
      </c>
      <c r="K540" s="16" t="s">
        <v>62</v>
      </c>
      <c r="L540" s="3" t="s">
        <v>60</v>
      </c>
      <c r="M540" s="3" t="s">
        <v>48</v>
      </c>
      <c r="N540" s="3" t="s">
        <v>58</v>
      </c>
    </row>
    <row r="541" spans="1:14" x14ac:dyDescent="0.3">
      <c r="A541" s="36" t="s">
        <v>37</v>
      </c>
      <c r="B541" s="13">
        <v>110</v>
      </c>
      <c r="C541" s="48" t="str">
        <f t="shared" si="18"/>
        <v>P.L. 110-140</v>
      </c>
      <c r="D541" s="3" t="s">
        <v>1001</v>
      </c>
      <c r="E541" s="3" t="s">
        <v>969</v>
      </c>
      <c r="F541" s="3" t="s">
        <v>1074</v>
      </c>
      <c r="G541" s="49"/>
      <c r="H541" s="46">
        <v>41182</v>
      </c>
      <c r="I541" s="13">
        <v>2012</v>
      </c>
      <c r="J541" s="16" t="s">
        <v>12</v>
      </c>
      <c r="K541" s="16" t="s">
        <v>62</v>
      </c>
      <c r="L541" s="3" t="s">
        <v>60</v>
      </c>
      <c r="M541" s="3" t="s">
        <v>48</v>
      </c>
      <c r="N541" s="3" t="s">
        <v>58</v>
      </c>
    </row>
    <row r="542" spans="1:14" x14ac:dyDescent="0.3">
      <c r="A542" s="36" t="s">
        <v>37</v>
      </c>
      <c r="B542" s="13">
        <v>110</v>
      </c>
      <c r="C542" s="48" t="str">
        <f t="shared" si="18"/>
        <v>P.L. 110-140</v>
      </c>
      <c r="D542" s="3" t="s">
        <v>1001</v>
      </c>
      <c r="E542" s="3" t="s">
        <v>969</v>
      </c>
      <c r="F542" s="3" t="s">
        <v>1075</v>
      </c>
      <c r="G542" s="49"/>
      <c r="H542" s="46">
        <v>41182</v>
      </c>
      <c r="I542" s="13">
        <v>2012</v>
      </c>
      <c r="J542" s="47">
        <v>100000000</v>
      </c>
      <c r="K542" s="16" t="s">
        <v>62</v>
      </c>
      <c r="L542" s="3" t="s">
        <v>60</v>
      </c>
      <c r="M542" s="3" t="s">
        <v>48</v>
      </c>
      <c r="N542" s="3" t="s">
        <v>58</v>
      </c>
    </row>
    <row r="543" spans="1:14" x14ac:dyDescent="0.3">
      <c r="A543" s="36" t="s">
        <v>37</v>
      </c>
      <c r="B543" s="13">
        <v>110</v>
      </c>
      <c r="C543" s="48" t="str">
        <f t="shared" si="18"/>
        <v>P.L. 110-140</v>
      </c>
      <c r="D543" s="3" t="s">
        <v>1001</v>
      </c>
      <c r="F543" s="3" t="s">
        <v>1076</v>
      </c>
      <c r="G543" s="49"/>
      <c r="H543" s="46">
        <v>41182</v>
      </c>
      <c r="I543" s="13">
        <v>2012</v>
      </c>
      <c r="J543" s="47">
        <v>5000000</v>
      </c>
      <c r="K543" s="16" t="s">
        <v>62</v>
      </c>
      <c r="L543" s="3" t="s">
        <v>60</v>
      </c>
      <c r="M543" s="3" t="s">
        <v>48</v>
      </c>
      <c r="N543" s="3" t="s">
        <v>43</v>
      </c>
    </row>
    <row r="544" spans="1:14" x14ac:dyDescent="0.3">
      <c r="A544" s="36" t="s">
        <v>37</v>
      </c>
      <c r="B544" s="13">
        <v>110</v>
      </c>
      <c r="C544" s="48" t="str">
        <f t="shared" si="18"/>
        <v>P.L. 110-140</v>
      </c>
      <c r="D544" s="3" t="s">
        <v>1001</v>
      </c>
      <c r="F544" s="3" t="s">
        <v>1077</v>
      </c>
      <c r="G544" s="49"/>
      <c r="H544" s="46">
        <v>41182</v>
      </c>
      <c r="I544" s="13">
        <v>2012</v>
      </c>
      <c r="J544" s="16" t="s">
        <v>12</v>
      </c>
      <c r="K544" s="47">
        <v>600000000</v>
      </c>
      <c r="L544" s="3" t="s">
        <v>60</v>
      </c>
      <c r="M544" s="3" t="s">
        <v>48</v>
      </c>
      <c r="N544" s="3" t="s">
        <v>58</v>
      </c>
    </row>
    <row r="545" spans="1:14" x14ac:dyDescent="0.3">
      <c r="A545" s="36" t="s">
        <v>37</v>
      </c>
      <c r="B545" s="13">
        <v>110</v>
      </c>
      <c r="C545" s="48" t="str">
        <f t="shared" si="18"/>
        <v>P.L. 110-140</v>
      </c>
      <c r="D545" s="3" t="s">
        <v>1001</v>
      </c>
      <c r="E545" s="3" t="s">
        <v>1015</v>
      </c>
      <c r="F545" s="3" t="s">
        <v>1078</v>
      </c>
      <c r="G545" s="48" t="str">
        <f>HYPERLINK("https://uscode.house.gov/view.xhtml?req=granuleid:USC-prelim-title42-section6342&amp;num=0&amp;edition=prelim", "42 U.S.C. 6342(i)(1)")</f>
        <v>42 U.S.C. 6342(i)(1)</v>
      </c>
      <c r="H545" s="46">
        <v>41182</v>
      </c>
      <c r="I545" s="13">
        <v>2012</v>
      </c>
      <c r="J545" s="47">
        <v>1000000</v>
      </c>
      <c r="K545" s="16" t="s">
        <v>62</v>
      </c>
      <c r="L545" s="3" t="s">
        <v>60</v>
      </c>
      <c r="M545" s="3" t="s">
        <v>48</v>
      </c>
      <c r="N545" s="3" t="s">
        <v>49</v>
      </c>
    </row>
    <row r="546" spans="1:14" x14ac:dyDescent="0.3">
      <c r="A546" s="36" t="s">
        <v>37</v>
      </c>
      <c r="B546" s="13">
        <v>110</v>
      </c>
      <c r="C546" s="48" t="str">
        <f>HYPERLINK("https://uscode.house.gov/statutes/pl/110/161.pdf", "P.L. 110-161")</f>
        <v>P.L. 110-161</v>
      </c>
      <c r="D546" s="3" t="s">
        <v>1079</v>
      </c>
      <c r="E546" s="3" t="s">
        <v>1080</v>
      </c>
      <c r="F546" s="3" t="s">
        <v>1081</v>
      </c>
      <c r="G546" s="49"/>
      <c r="H546" s="46">
        <v>39721</v>
      </c>
      <c r="I546" s="13">
        <v>2008</v>
      </c>
      <c r="J546" s="47">
        <v>6698000</v>
      </c>
      <c r="K546" s="16" t="s">
        <v>62</v>
      </c>
      <c r="L546" s="3" t="s">
        <v>47</v>
      </c>
      <c r="M546" s="3" t="s">
        <v>148</v>
      </c>
      <c r="N546" s="3" t="s">
        <v>43</v>
      </c>
    </row>
    <row r="547" spans="1:14" x14ac:dyDescent="0.3">
      <c r="A547" s="36" t="s">
        <v>37</v>
      </c>
      <c r="B547" s="13">
        <v>110</v>
      </c>
      <c r="C547" s="48" t="str">
        <f>HYPERLINK("https://uscode.house.gov/statutes/pl/110/161.pdf", "P.L. 110-161")</f>
        <v>P.L. 110-161</v>
      </c>
      <c r="D547" s="3" t="s">
        <v>1079</v>
      </c>
      <c r="E547" s="3" t="s">
        <v>1082</v>
      </c>
      <c r="F547" s="3" t="s">
        <v>1083</v>
      </c>
      <c r="G547" s="48" t="str">
        <f>HYPERLINK("https://uscode.house.gov/view.xhtml?req=granuleid:USC-prelim-title6-section488i&amp;num=0&amp;edition=prelim", "6 U.S.C. 488i")</f>
        <v>6 U.S.C. 488i</v>
      </c>
      <c r="H547" s="46">
        <v>41182</v>
      </c>
      <c r="I547" s="13">
        <v>2012</v>
      </c>
      <c r="J547" s="47">
        <v>10750000</v>
      </c>
      <c r="K547" s="16" t="s">
        <v>62</v>
      </c>
      <c r="L547" s="3" t="s">
        <v>642</v>
      </c>
      <c r="M547" s="3" t="s">
        <v>230</v>
      </c>
      <c r="N547" s="3" t="s">
        <v>122</v>
      </c>
    </row>
    <row r="548" spans="1:14" x14ac:dyDescent="0.3">
      <c r="A548" s="36" t="s">
        <v>37</v>
      </c>
      <c r="B548" s="13">
        <v>110</v>
      </c>
      <c r="C548" s="48" t="str">
        <f>HYPERLINK("https://uscode.house.gov/statutes/pl/110/177.pdf", "P.L. 110-177")</f>
        <v>P.L. 110-177</v>
      </c>
      <c r="D548" s="3" t="s">
        <v>1084</v>
      </c>
      <c r="E548" s="3" t="s">
        <v>186</v>
      </c>
      <c r="F548" s="3" t="s">
        <v>1085</v>
      </c>
      <c r="G548" s="49"/>
      <c r="H548" s="46">
        <v>40816</v>
      </c>
      <c r="I548" s="13">
        <v>2011</v>
      </c>
      <c r="J548" s="47">
        <v>20000000</v>
      </c>
      <c r="K548" s="16" t="s">
        <v>62</v>
      </c>
      <c r="L548" s="3" t="s">
        <v>41</v>
      </c>
      <c r="M548" s="3" t="s">
        <v>42</v>
      </c>
      <c r="N548" s="3" t="s">
        <v>43</v>
      </c>
    </row>
    <row r="549" spans="1:14" x14ac:dyDescent="0.3">
      <c r="A549" s="36" t="s">
        <v>37</v>
      </c>
      <c r="B549" s="13">
        <v>110</v>
      </c>
      <c r="C549" s="48" t="str">
        <f>HYPERLINK("https://uscode.house.gov/statutes/pl/110/177.pdf", "P.L. 110-177")</f>
        <v>P.L. 110-177</v>
      </c>
      <c r="D549" s="3" t="s">
        <v>1084</v>
      </c>
      <c r="E549" s="3" t="s">
        <v>138</v>
      </c>
      <c r="F549" s="3" t="s">
        <v>1086</v>
      </c>
      <c r="G549" s="49"/>
      <c r="H549" s="46">
        <v>41182</v>
      </c>
      <c r="I549" s="13">
        <v>2012</v>
      </c>
      <c r="J549" s="47">
        <v>20000000</v>
      </c>
      <c r="K549" s="16" t="s">
        <v>62</v>
      </c>
      <c r="L549" s="3" t="s">
        <v>41</v>
      </c>
      <c r="M549" s="3" t="s">
        <v>42</v>
      </c>
      <c r="N549" s="3" t="s">
        <v>43</v>
      </c>
    </row>
    <row r="550" spans="1:14" x14ac:dyDescent="0.3">
      <c r="A550" s="36" t="s">
        <v>37</v>
      </c>
      <c r="B550" s="13">
        <v>110</v>
      </c>
      <c r="C550" s="48" t="str">
        <f>HYPERLINK("https://uscode.house.gov/statutes/pl/110/177.pdf", "P.L. 110-177")</f>
        <v>P.L. 110-177</v>
      </c>
      <c r="D550" s="3" t="s">
        <v>1084</v>
      </c>
      <c r="E550" s="3" t="s">
        <v>83</v>
      </c>
      <c r="F550" s="3" t="s">
        <v>1087</v>
      </c>
      <c r="G550" s="49"/>
      <c r="H550" s="46">
        <v>40816</v>
      </c>
      <c r="I550" s="13">
        <v>2011</v>
      </c>
      <c r="J550" s="47">
        <v>15000000</v>
      </c>
      <c r="K550" s="16" t="s">
        <v>62</v>
      </c>
      <c r="L550" s="3" t="s">
        <v>41</v>
      </c>
      <c r="M550" s="3" t="s">
        <v>42</v>
      </c>
      <c r="N550" s="3" t="s">
        <v>43</v>
      </c>
    </row>
    <row r="551" spans="1:14" x14ac:dyDescent="0.3">
      <c r="A551" s="36" t="s">
        <v>37</v>
      </c>
      <c r="B551" s="13">
        <v>110</v>
      </c>
      <c r="C551" s="48" t="str">
        <f>HYPERLINK("https://uscode.house.gov/statutes/pl/110/177.pdf", "P.L. 110-177")</f>
        <v>P.L. 110-177</v>
      </c>
      <c r="D551" s="3" t="s">
        <v>1084</v>
      </c>
      <c r="E551" s="3" t="s">
        <v>1088</v>
      </c>
      <c r="F551" s="3" t="s">
        <v>1089</v>
      </c>
      <c r="G551" s="48" t="str">
        <f>HYPERLINK("https://uscode.house.gov/view.xhtml?req=granuleid:USC-prelim-title34-section41503&amp;num=0&amp;edition=prelim", "34 U.S.C. 41503(note)")</f>
        <v>34 U.S.C. 41503(note)</v>
      </c>
      <c r="H551" s="46">
        <v>41182</v>
      </c>
      <c r="I551" s="13">
        <v>2012</v>
      </c>
      <c r="J551" s="47">
        <v>10000000</v>
      </c>
      <c r="K551" s="16" t="s">
        <v>62</v>
      </c>
      <c r="L551" s="3" t="s">
        <v>41</v>
      </c>
      <c r="M551" s="3" t="s">
        <v>42</v>
      </c>
      <c r="N551" s="3" t="s">
        <v>43</v>
      </c>
    </row>
    <row r="552" spans="1:14" x14ac:dyDescent="0.3">
      <c r="A552" s="36" t="s">
        <v>37</v>
      </c>
      <c r="B552" s="13">
        <v>110</v>
      </c>
      <c r="C552" s="48" t="str">
        <f>HYPERLINK("https://uscode.house.gov/statutes/pl/110/180.pdf", "P.L. 110-180")</f>
        <v>P.L. 110-180</v>
      </c>
      <c r="D552" s="3" t="s">
        <v>1090</v>
      </c>
      <c r="E552" s="3" t="s">
        <v>171</v>
      </c>
      <c r="F552" s="3" t="s">
        <v>1091</v>
      </c>
      <c r="G552" s="49"/>
      <c r="H552" s="46">
        <v>41547</v>
      </c>
      <c r="I552" s="13">
        <v>2013</v>
      </c>
      <c r="J552" s="16" t="s">
        <v>12</v>
      </c>
      <c r="K552" s="16" t="s">
        <v>62</v>
      </c>
      <c r="L552" s="3" t="s">
        <v>41</v>
      </c>
      <c r="M552" s="3" t="s">
        <v>42</v>
      </c>
      <c r="N552" s="3" t="s">
        <v>43</v>
      </c>
    </row>
    <row r="553" spans="1:14" x14ac:dyDescent="0.3">
      <c r="A553" s="36" t="s">
        <v>37</v>
      </c>
      <c r="B553" s="13">
        <v>110</v>
      </c>
      <c r="C553" s="48" t="str">
        <f>HYPERLINK("https://uscode.house.gov/statutes/pl/110/180.pdf", "P.L. 110-180")</f>
        <v>P.L. 110-180</v>
      </c>
      <c r="D553" s="3" t="s">
        <v>1090</v>
      </c>
      <c r="E553" s="3" t="s">
        <v>138</v>
      </c>
      <c r="F553" s="3" t="s">
        <v>1092</v>
      </c>
      <c r="G553" s="49"/>
      <c r="H553" s="46">
        <v>41547</v>
      </c>
      <c r="I553" s="13">
        <v>2013</v>
      </c>
      <c r="J553" s="47">
        <v>62500000</v>
      </c>
      <c r="K553" s="47">
        <v>25000000</v>
      </c>
      <c r="L553" s="3" t="s">
        <v>41</v>
      </c>
      <c r="M553" s="3" t="s">
        <v>42</v>
      </c>
      <c r="N553" s="3" t="s">
        <v>43</v>
      </c>
    </row>
    <row r="554" spans="1:14" x14ac:dyDescent="0.3">
      <c r="A554" s="36" t="s">
        <v>37</v>
      </c>
      <c r="B554" s="13">
        <v>110</v>
      </c>
      <c r="C554" s="48" t="str">
        <f>HYPERLINK("https://uscode.house.gov/statutes/pl/110/186.pdf", "P.L. 110-186")</f>
        <v>P.L. 110-186</v>
      </c>
      <c r="D554" s="3" t="s">
        <v>1093</v>
      </c>
      <c r="E554" s="3" t="s">
        <v>167</v>
      </c>
      <c r="F554" s="3" t="s">
        <v>1094</v>
      </c>
      <c r="G554" s="49"/>
      <c r="H554" s="46">
        <v>40086</v>
      </c>
      <c r="I554" s="13">
        <v>2009</v>
      </c>
      <c r="J554" s="47">
        <v>2300000</v>
      </c>
      <c r="K554" s="47">
        <v>17500000</v>
      </c>
      <c r="L554" s="3" t="s">
        <v>1095</v>
      </c>
      <c r="M554" s="3" t="s">
        <v>1096</v>
      </c>
      <c r="N554" s="3" t="s">
        <v>55</v>
      </c>
    </row>
    <row r="555" spans="1:14" x14ac:dyDescent="0.3">
      <c r="A555" s="36" t="s">
        <v>37</v>
      </c>
      <c r="B555" s="13">
        <v>110</v>
      </c>
      <c r="C555" s="48" t="str">
        <f>HYPERLINK("https://uscode.house.gov/statutes/pl/110/229.pdf", "P.L. 110-229")</f>
        <v>P.L. 110-229</v>
      </c>
      <c r="D555" s="3" t="s">
        <v>1097</v>
      </c>
      <c r="E555" s="3" t="s">
        <v>1020</v>
      </c>
      <c r="F555" s="3" t="s">
        <v>1098</v>
      </c>
      <c r="G555" s="49"/>
      <c r="H555" s="46">
        <v>41182</v>
      </c>
      <c r="I555" s="13">
        <v>2012</v>
      </c>
      <c r="J555" s="47">
        <v>3000000</v>
      </c>
      <c r="K555" s="16" t="s">
        <v>62</v>
      </c>
      <c r="L555" s="3" t="s">
        <v>47</v>
      </c>
      <c r="M555" s="3" t="s">
        <v>48</v>
      </c>
      <c r="N555" s="3" t="s">
        <v>58</v>
      </c>
    </row>
    <row r="556" spans="1:14" x14ac:dyDescent="0.3">
      <c r="A556" s="36" t="s">
        <v>37</v>
      </c>
      <c r="B556" s="13">
        <v>110</v>
      </c>
      <c r="C556" s="48" t="str">
        <f>HYPERLINK("https://uscode.house.gov/statutes/pl/110/229.pdf", "P.L. 110-229")</f>
        <v>P.L. 110-229</v>
      </c>
      <c r="D556" s="3" t="s">
        <v>1097</v>
      </c>
      <c r="E556" s="3" t="s">
        <v>197</v>
      </c>
      <c r="F556" s="3" t="s">
        <v>1099</v>
      </c>
      <c r="G556" s="49"/>
      <c r="H556" s="46">
        <v>42643</v>
      </c>
      <c r="I556" s="13">
        <v>2016</v>
      </c>
      <c r="J556" s="47">
        <v>2000000</v>
      </c>
      <c r="K556" s="16" t="s">
        <v>62</v>
      </c>
      <c r="L556" s="3" t="s">
        <v>47</v>
      </c>
      <c r="M556" s="3" t="s">
        <v>48</v>
      </c>
      <c r="N556" s="3" t="s">
        <v>58</v>
      </c>
    </row>
    <row r="557" spans="1:14" x14ac:dyDescent="0.3">
      <c r="A557" s="36" t="s">
        <v>37</v>
      </c>
      <c r="B557" s="13">
        <v>110</v>
      </c>
      <c r="C557" s="48" t="str">
        <f>HYPERLINK("https://uscode.house.gov/statutes/pl/110/229.pdf", "P.L. 110-229")</f>
        <v>P.L. 110-229</v>
      </c>
      <c r="D557" s="3" t="s">
        <v>1097</v>
      </c>
      <c r="E557" s="3" t="s">
        <v>1100</v>
      </c>
      <c r="F557" s="3" t="s">
        <v>1101</v>
      </c>
      <c r="G557" s="49"/>
      <c r="H557" s="46">
        <v>41182</v>
      </c>
      <c r="I557" s="13">
        <v>2012</v>
      </c>
      <c r="J557" s="47">
        <v>12000000</v>
      </c>
      <c r="K557" s="16" t="s">
        <v>62</v>
      </c>
      <c r="L557" s="3" t="s">
        <v>135</v>
      </c>
      <c r="M557" s="3" t="s">
        <v>48</v>
      </c>
      <c r="N557" s="3" t="s">
        <v>58</v>
      </c>
    </row>
    <row r="558" spans="1:14" x14ac:dyDescent="0.3">
      <c r="A558" s="36" t="s">
        <v>37</v>
      </c>
      <c r="B558" s="13">
        <v>110</v>
      </c>
      <c r="C558" s="48" t="str">
        <f>HYPERLINK("https://uscode.house.gov/statutes/pl/110/246.pdf", "P.L. 110-246")</f>
        <v>P.L. 110-246</v>
      </c>
      <c r="D558" s="3" t="s">
        <v>1102</v>
      </c>
      <c r="E558" s="3" t="s">
        <v>1103</v>
      </c>
      <c r="F558" s="3" t="s">
        <v>1104</v>
      </c>
      <c r="G558" s="49"/>
      <c r="H558" s="46">
        <v>41547</v>
      </c>
      <c r="I558" s="13">
        <v>2013</v>
      </c>
      <c r="J558" s="16" t="s">
        <v>12</v>
      </c>
      <c r="K558" s="47">
        <v>365000000</v>
      </c>
      <c r="L558" s="3" t="s">
        <v>1105</v>
      </c>
      <c r="M558" s="3" t="s">
        <v>586</v>
      </c>
      <c r="N558" s="3" t="s">
        <v>406</v>
      </c>
    </row>
    <row r="559" spans="1:14" x14ac:dyDescent="0.3">
      <c r="A559" s="36" t="s">
        <v>37</v>
      </c>
      <c r="B559" s="13">
        <v>110</v>
      </c>
      <c r="C559" s="48" t="str">
        <f>HYPERLINK("https://uscode.house.gov/statutes/pl/110/286.pdf", "P.L. 110-286")</f>
        <v>P.L. 110-286</v>
      </c>
      <c r="D559" s="3" t="s">
        <v>1106</v>
      </c>
      <c r="E559" s="3" t="s">
        <v>149</v>
      </c>
      <c r="F559" s="3" t="s">
        <v>1107</v>
      </c>
      <c r="G559" s="48" t="str">
        <f>HYPERLINK("https://uscode.house.gov/view.xhtml?req=granuleid:USC-prelim-title50-section1701&amp;num=0&amp;edition=prelim", "50 U.S.C. 1701(note)")</f>
        <v>50 U.S.C. 1701(note)</v>
      </c>
      <c r="H559" s="46">
        <v>39721</v>
      </c>
      <c r="I559" s="13">
        <v>2008</v>
      </c>
      <c r="J559" s="47">
        <v>5000000</v>
      </c>
      <c r="K559" s="47">
        <v>4000000</v>
      </c>
      <c r="L559" s="3" t="s">
        <v>80</v>
      </c>
      <c r="M559" s="3" t="s">
        <v>81</v>
      </c>
      <c r="N559" s="3" t="s">
        <v>82</v>
      </c>
    </row>
    <row r="560" spans="1:14" x14ac:dyDescent="0.3">
      <c r="A560" s="36" t="s">
        <v>37</v>
      </c>
      <c r="B560" s="13">
        <v>110</v>
      </c>
      <c r="C560" s="48" t="str">
        <f>HYPERLINK("https://uscode.house.gov/statutes/pl/110/286.pdf", "P.L. 110-286")</f>
        <v>P.L. 110-286</v>
      </c>
      <c r="D560" s="3" t="s">
        <v>1106</v>
      </c>
      <c r="E560" s="3" t="s">
        <v>207</v>
      </c>
      <c r="F560" s="3" t="s">
        <v>1108</v>
      </c>
      <c r="G560" s="48" t="str">
        <f>HYPERLINK("https://uscode.house.gov/view.xhtml?req=granuleid:USC-prelim-title50-section1701&amp;num=0&amp;edition=prelim", "50 U.S.C. 1701(note)")</f>
        <v>50 U.S.C. 1701(note)</v>
      </c>
      <c r="H560" s="46">
        <v>39721</v>
      </c>
      <c r="I560" s="13">
        <v>2008</v>
      </c>
      <c r="J560" s="47">
        <v>11000000</v>
      </c>
      <c r="K560" s="16" t="s">
        <v>62</v>
      </c>
      <c r="L560" s="3" t="s">
        <v>80</v>
      </c>
      <c r="M560" s="3" t="s">
        <v>81</v>
      </c>
      <c r="N560" s="3" t="s">
        <v>82</v>
      </c>
    </row>
    <row r="561" spans="1:14" x14ac:dyDescent="0.3">
      <c r="A561" s="36" t="s">
        <v>37</v>
      </c>
      <c r="B561" s="13">
        <v>110</v>
      </c>
      <c r="C561" s="48" t="str">
        <f>HYPERLINK("https://uscode.house.gov/statutes/pl/110/289.pdf", "P.L. 110-289")</f>
        <v>P.L. 110-289</v>
      </c>
      <c r="D561" s="3" t="s">
        <v>1109</v>
      </c>
      <c r="E561" s="3" t="s">
        <v>1110</v>
      </c>
      <c r="F561" s="3" t="s">
        <v>1111</v>
      </c>
      <c r="G561" s="49"/>
      <c r="H561" s="46">
        <v>41547</v>
      </c>
      <c r="I561" s="13">
        <v>2013</v>
      </c>
      <c r="J561" s="47">
        <v>25000000</v>
      </c>
      <c r="K561" s="16" t="s">
        <v>62</v>
      </c>
      <c r="L561" s="3" t="s">
        <v>156</v>
      </c>
      <c r="M561" s="3" t="s">
        <v>157</v>
      </c>
      <c r="N561" s="3" t="s">
        <v>158</v>
      </c>
    </row>
    <row r="562" spans="1:14" x14ac:dyDescent="0.3">
      <c r="A562" s="36" t="s">
        <v>37</v>
      </c>
      <c r="B562" s="13">
        <v>110</v>
      </c>
      <c r="C562" s="48" t="str">
        <f>HYPERLINK("https://uscode.house.gov/statutes/pl/110/289.pdf", "P.L. 110-289")</f>
        <v>P.L. 110-289</v>
      </c>
      <c r="D562" s="3" t="s">
        <v>1109</v>
      </c>
      <c r="E562" s="3" t="s">
        <v>1112</v>
      </c>
      <c r="F562" s="3" t="s">
        <v>1113</v>
      </c>
      <c r="G562" s="49"/>
      <c r="H562" s="46">
        <v>41547</v>
      </c>
      <c r="I562" s="13">
        <v>2013</v>
      </c>
      <c r="J562" s="47">
        <v>900000</v>
      </c>
      <c r="K562" s="16" t="s">
        <v>62</v>
      </c>
      <c r="L562" s="3" t="s">
        <v>156</v>
      </c>
      <c r="M562" s="3" t="s">
        <v>157</v>
      </c>
      <c r="N562" s="3" t="s">
        <v>158</v>
      </c>
    </row>
    <row r="563" spans="1:14" x14ac:dyDescent="0.3">
      <c r="A563" s="36" t="s">
        <v>37</v>
      </c>
      <c r="B563" s="13">
        <v>110</v>
      </c>
      <c r="C563" s="48" t="str">
        <f>HYPERLINK("https://uscode.house.gov/statutes/pl/110/290.pdf", "P.L. 110-290")</f>
        <v>P.L. 110-290</v>
      </c>
      <c r="D563" s="3" t="s">
        <v>1114</v>
      </c>
      <c r="E563" s="3" t="s">
        <v>222</v>
      </c>
      <c r="F563" s="3" t="s">
        <v>1115</v>
      </c>
      <c r="G563" s="48" t="str">
        <f>HYPERLINK("https://uscode.house.gov/view.xhtml?req=granuleid:USC-prelim-title5-section596&amp;num=0&amp;edition=prelim", "5 U.S.C. 596")</f>
        <v>5 U.S.C. 596</v>
      </c>
      <c r="H563" s="46">
        <v>40816</v>
      </c>
      <c r="I563" s="13">
        <v>2011</v>
      </c>
      <c r="J563" s="47">
        <v>3400000</v>
      </c>
      <c r="K563" s="47">
        <v>3465000</v>
      </c>
      <c r="L563" s="3" t="s">
        <v>41</v>
      </c>
      <c r="M563" s="3" t="s">
        <v>54</v>
      </c>
      <c r="N563" s="3" t="s">
        <v>55</v>
      </c>
    </row>
    <row r="564" spans="1:14" x14ac:dyDescent="0.3">
      <c r="A564" s="36" t="s">
        <v>37</v>
      </c>
      <c r="B564" s="13">
        <v>110</v>
      </c>
      <c r="C564" s="48" t="str">
        <f t="shared" ref="C564:C573" si="19">HYPERLINK("https://uscode.house.gov/statutes/pl/110/293.pdf", "P.L. 110-293")</f>
        <v>P.L. 110-293</v>
      </c>
      <c r="D564" s="3" t="s">
        <v>1116</v>
      </c>
      <c r="E564" s="3" t="s">
        <v>171</v>
      </c>
      <c r="F564" s="3" t="s">
        <v>1117</v>
      </c>
      <c r="G564" s="48" t="str">
        <f>HYPERLINK("https://uscode.house.gov/view.xhtml?req=granuleid:USC-prelim-title22-section2222&amp;num=0&amp;edition=prelim", "22 U.S.C. 2222(d)")</f>
        <v>22 U.S.C. 2222(d)</v>
      </c>
      <c r="H564" s="46">
        <v>41547</v>
      </c>
      <c r="I564" s="13">
        <v>2013</v>
      </c>
      <c r="J564" s="16" t="s">
        <v>12</v>
      </c>
      <c r="K564" s="16" t="s">
        <v>62</v>
      </c>
      <c r="L564" s="3" t="s">
        <v>80</v>
      </c>
      <c r="M564" s="3" t="s">
        <v>81</v>
      </c>
      <c r="N564" s="3" t="s">
        <v>82</v>
      </c>
    </row>
    <row r="565" spans="1:14" x14ac:dyDescent="0.3">
      <c r="A565" s="36" t="s">
        <v>37</v>
      </c>
      <c r="B565" s="13">
        <v>110</v>
      </c>
      <c r="C565" s="48" t="str">
        <f t="shared" si="19"/>
        <v>P.L. 110-293</v>
      </c>
      <c r="D565" s="3" t="s">
        <v>1116</v>
      </c>
      <c r="E565" s="3" t="s">
        <v>1118</v>
      </c>
      <c r="F565" s="3" t="s">
        <v>1119</v>
      </c>
      <c r="G565" s="48" t="str">
        <f>HYPERLINK("https://uscode.house.gov/view.xhtml?req=granuleid:USC-prelim-title22-section7622&amp;num=0&amp;edition=prelim", "22 U.S.C. 7622(d)")</f>
        <v>22 U.S.C. 7622(d)</v>
      </c>
      <c r="H565" s="46">
        <v>41547</v>
      </c>
      <c r="I565" s="13">
        <v>2013</v>
      </c>
      <c r="J565" s="16" t="s">
        <v>12</v>
      </c>
      <c r="K565" s="47">
        <v>2000000000</v>
      </c>
      <c r="L565" s="3" t="s">
        <v>80</v>
      </c>
      <c r="M565" s="3" t="s">
        <v>81</v>
      </c>
      <c r="N565" s="3" t="s">
        <v>82</v>
      </c>
    </row>
    <row r="566" spans="1:14" x14ac:dyDescent="0.3">
      <c r="A566" s="36" t="s">
        <v>37</v>
      </c>
      <c r="B566" s="13">
        <v>110</v>
      </c>
      <c r="C566" s="48" t="str">
        <f t="shared" si="19"/>
        <v>P.L. 110-293</v>
      </c>
      <c r="D566" s="3" t="s">
        <v>1116</v>
      </c>
      <c r="E566" s="3" t="s">
        <v>897</v>
      </c>
      <c r="F566" s="3" t="s">
        <v>1120</v>
      </c>
      <c r="G566" s="48" t="str">
        <f>HYPERLINK("https://uscode.house.gov/view.xhtml?req=granuleid:USC-prelim-title42-section247b-22&amp;num=0&amp;edition=prelim", "42 U.S.C. 247b-22(b)")</f>
        <v>42 U.S.C. 247b-22(b)</v>
      </c>
      <c r="H566" s="46">
        <v>41547</v>
      </c>
      <c r="I566" s="13">
        <v>2013</v>
      </c>
      <c r="J566" s="16" t="s">
        <v>12</v>
      </c>
      <c r="K566" s="16" t="s">
        <v>62</v>
      </c>
      <c r="L566" s="3" t="s">
        <v>80</v>
      </c>
      <c r="M566" s="3" t="s">
        <v>81</v>
      </c>
      <c r="N566" s="3" t="s">
        <v>72</v>
      </c>
    </row>
    <row r="567" spans="1:14" x14ac:dyDescent="0.3">
      <c r="A567" s="36" t="s">
        <v>37</v>
      </c>
      <c r="B567" s="13">
        <v>110</v>
      </c>
      <c r="C567" s="48" t="str">
        <f t="shared" si="19"/>
        <v>P.L. 110-293</v>
      </c>
      <c r="D567" s="3" t="s">
        <v>1116</v>
      </c>
      <c r="E567" s="3" t="s">
        <v>138</v>
      </c>
      <c r="F567" s="3" t="s">
        <v>1121</v>
      </c>
      <c r="G567" s="48" t="str">
        <f>HYPERLINK("https://uscode.house.gov/view.xhtml?req=granuleid:USC-prelim-title22-section7631a&amp;num=0&amp;edition=prelim", "22 U.S.C. 7631a(c)(4)")</f>
        <v>22 U.S.C. 7631a(c)(4)</v>
      </c>
      <c r="H567" s="46">
        <v>41547</v>
      </c>
      <c r="I567" s="13">
        <v>2013</v>
      </c>
      <c r="J567" s="16" t="s">
        <v>12</v>
      </c>
      <c r="K567" s="16" t="s">
        <v>62</v>
      </c>
      <c r="L567" s="3" t="s">
        <v>80</v>
      </c>
      <c r="M567" s="3" t="s">
        <v>81</v>
      </c>
      <c r="N567" s="3" t="s">
        <v>82</v>
      </c>
    </row>
    <row r="568" spans="1:14" x14ac:dyDescent="0.3">
      <c r="A568" s="36" t="s">
        <v>37</v>
      </c>
      <c r="B568" s="13">
        <v>110</v>
      </c>
      <c r="C568" s="48" t="str">
        <f t="shared" si="19"/>
        <v>P.L. 110-293</v>
      </c>
      <c r="D568" s="3" t="s">
        <v>1116</v>
      </c>
      <c r="E568" s="3" t="s">
        <v>138</v>
      </c>
      <c r="F568" s="3" t="s">
        <v>1122</v>
      </c>
      <c r="G568" s="48" t="str">
        <f>HYPERLINK("https://uscode.house.gov/view.xhtml?req=granuleid:USC-prelim-title22-section7631&amp;num=0&amp;edition=prelim", "22 U.S.C. 7631(b)")</f>
        <v>22 U.S.C. 7631(b)</v>
      </c>
      <c r="H568" s="46">
        <v>41547</v>
      </c>
      <c r="I568" s="13">
        <v>2013</v>
      </c>
      <c r="J568" s="16" t="s">
        <v>12</v>
      </c>
      <c r="K568" s="16" t="s">
        <v>62</v>
      </c>
      <c r="L568" s="3" t="s">
        <v>80</v>
      </c>
      <c r="M568" s="3" t="s">
        <v>81</v>
      </c>
      <c r="N568" s="3" t="s">
        <v>82</v>
      </c>
    </row>
    <row r="569" spans="1:14" x14ac:dyDescent="0.3">
      <c r="A569" s="36" t="s">
        <v>37</v>
      </c>
      <c r="B569" s="13">
        <v>110</v>
      </c>
      <c r="C569" s="48" t="str">
        <f t="shared" si="19"/>
        <v>P.L. 110-293</v>
      </c>
      <c r="D569" s="3" t="s">
        <v>1116</v>
      </c>
      <c r="E569" s="3" t="s">
        <v>138</v>
      </c>
      <c r="F569" s="3" t="s">
        <v>1123</v>
      </c>
      <c r="G569" s="49"/>
      <c r="H569" s="46">
        <v>41547</v>
      </c>
      <c r="I569" s="13">
        <v>2013</v>
      </c>
      <c r="J569" s="16" t="s">
        <v>12</v>
      </c>
      <c r="K569" s="16" t="s">
        <v>62</v>
      </c>
      <c r="L569" s="3" t="s">
        <v>80</v>
      </c>
      <c r="M569" s="3" t="s">
        <v>81</v>
      </c>
      <c r="N569" s="3" t="s">
        <v>82</v>
      </c>
    </row>
    <row r="570" spans="1:14" x14ac:dyDescent="0.3">
      <c r="A570" s="36" t="s">
        <v>37</v>
      </c>
      <c r="B570" s="13">
        <v>110</v>
      </c>
      <c r="C570" s="48" t="str">
        <f t="shared" si="19"/>
        <v>P.L. 110-293</v>
      </c>
      <c r="D570" s="3" t="s">
        <v>1116</v>
      </c>
      <c r="E570" s="3" t="s">
        <v>1124</v>
      </c>
      <c r="F570" s="3" t="s">
        <v>1125</v>
      </c>
      <c r="G570" s="48" t="str">
        <f>HYPERLINK("https://uscode.house.gov/view.xhtml?req=granuleid:USC-prelim-title22-section7631&amp;num=0&amp;edition=prelim", "22 U.S.C. 7631(c)(2)")</f>
        <v>22 U.S.C. 7631(c)(2)</v>
      </c>
      <c r="H570" s="46">
        <v>41547</v>
      </c>
      <c r="I570" s="13">
        <v>2013</v>
      </c>
      <c r="J570" s="16" t="s">
        <v>12</v>
      </c>
      <c r="K570" s="16" t="s">
        <v>62</v>
      </c>
      <c r="L570" s="3" t="s">
        <v>80</v>
      </c>
      <c r="M570" s="3" t="s">
        <v>81</v>
      </c>
      <c r="N570" s="3" t="s">
        <v>82</v>
      </c>
    </row>
    <row r="571" spans="1:14" x14ac:dyDescent="0.3">
      <c r="A571" s="36" t="s">
        <v>37</v>
      </c>
      <c r="B571" s="13">
        <v>110</v>
      </c>
      <c r="C571" s="48" t="str">
        <f t="shared" si="19"/>
        <v>P.L. 110-293</v>
      </c>
      <c r="D571" s="3" t="s">
        <v>1116</v>
      </c>
      <c r="E571" s="3" t="s">
        <v>1126</v>
      </c>
      <c r="F571" s="3" t="s">
        <v>1127</v>
      </c>
      <c r="G571" s="48" t="str">
        <f>HYPERLINK("https://uscode.house.gov/view.xhtml?req=granuleid:USC-prelim-title22-section7632&amp;num=0&amp;edition=prelim", "22 U.S.C. 7632(1)")</f>
        <v>22 U.S.C. 7632(1)</v>
      </c>
      <c r="H571" s="46">
        <v>41547</v>
      </c>
      <c r="I571" s="13">
        <v>2013</v>
      </c>
      <c r="J571" s="16" t="s">
        <v>12</v>
      </c>
      <c r="K571" s="16" t="s">
        <v>62</v>
      </c>
      <c r="L571" s="3" t="s">
        <v>80</v>
      </c>
      <c r="M571" s="3" t="s">
        <v>81</v>
      </c>
      <c r="N571" s="3" t="s">
        <v>82</v>
      </c>
    </row>
    <row r="572" spans="1:14" x14ac:dyDescent="0.3">
      <c r="A572" s="36" t="s">
        <v>37</v>
      </c>
      <c r="B572" s="13">
        <v>110</v>
      </c>
      <c r="C572" s="48" t="str">
        <f t="shared" si="19"/>
        <v>P.L. 110-293</v>
      </c>
      <c r="D572" s="3" t="s">
        <v>1116</v>
      </c>
      <c r="E572" s="3" t="s">
        <v>83</v>
      </c>
      <c r="F572" s="3" t="s">
        <v>1128</v>
      </c>
      <c r="G572" s="48" t="str">
        <f>HYPERLINK("https://uscode.house.gov/view.xhtml?req=granuleid:USC-prelim-title22-section7633&amp;num=0&amp;edition=prelim", "22 U.S.C. 7633(b)(1)")</f>
        <v>22 U.S.C. 7633(b)(1)</v>
      </c>
      <c r="H572" s="46">
        <v>41547</v>
      </c>
      <c r="I572" s="13">
        <v>2013</v>
      </c>
      <c r="J572" s="16" t="s">
        <v>12</v>
      </c>
      <c r="K572" s="16" t="s">
        <v>62</v>
      </c>
      <c r="L572" s="3" t="s">
        <v>80</v>
      </c>
      <c r="M572" s="3" t="s">
        <v>81</v>
      </c>
      <c r="N572" s="3" t="s">
        <v>82</v>
      </c>
    </row>
    <row r="573" spans="1:14" x14ac:dyDescent="0.3">
      <c r="A573" s="36" t="s">
        <v>37</v>
      </c>
      <c r="B573" s="13">
        <v>110</v>
      </c>
      <c r="C573" s="48" t="str">
        <f t="shared" si="19"/>
        <v>P.L. 110-293</v>
      </c>
      <c r="D573" s="3" t="s">
        <v>1116</v>
      </c>
      <c r="E573" s="3" t="s">
        <v>1129</v>
      </c>
      <c r="F573" s="3" t="s">
        <v>1130</v>
      </c>
      <c r="G573" s="48" t="str">
        <f>HYPERLINK("https://uscode.house.gov/view.xhtml?req=granuleid:USC-prelim-title22-section7631&amp;num=0&amp;edition=prelim", "22 U.S.C. 7631(a)")</f>
        <v>22 U.S.C. 7631(a)</v>
      </c>
      <c r="H573" s="46">
        <v>41547</v>
      </c>
      <c r="I573" s="13">
        <v>2013</v>
      </c>
      <c r="J573" s="16" t="s">
        <v>12</v>
      </c>
      <c r="K573" s="47">
        <v>45000000</v>
      </c>
      <c r="L573" s="3" t="s">
        <v>80</v>
      </c>
      <c r="M573" s="3" t="s">
        <v>81</v>
      </c>
      <c r="N573" s="3" t="s">
        <v>82</v>
      </c>
    </row>
    <row r="574" spans="1:14" x14ac:dyDescent="0.3">
      <c r="A574" s="36" t="s">
        <v>37</v>
      </c>
      <c r="B574" s="13">
        <v>110</v>
      </c>
      <c r="C574" s="48" t="str">
        <f>HYPERLINK("https://uscode.house.gov/statutes/pl/110/294.pdf", "P.L. 110-294")</f>
        <v>P.L. 110-294</v>
      </c>
      <c r="D574" s="3" t="s">
        <v>1131</v>
      </c>
      <c r="F574" s="3" t="s">
        <v>1132</v>
      </c>
      <c r="G574" s="48" t="str">
        <f>HYPERLINK("https://uscode.house.gov/view.xhtml?req=granuleid:USC-prelim-title42-section3758&amp;num=0&amp;edition=prelim", "42 U.S.C. 3758")</f>
        <v>42 U.S.C. 3758</v>
      </c>
      <c r="H574" s="46">
        <v>41182</v>
      </c>
      <c r="I574" s="13">
        <v>2012</v>
      </c>
      <c r="J574" s="47">
        <v>1095000000</v>
      </c>
      <c r="K574" s="47">
        <v>920805000</v>
      </c>
      <c r="L574" s="3" t="s">
        <v>41</v>
      </c>
      <c r="M574" s="3" t="s">
        <v>42</v>
      </c>
      <c r="N574" s="3" t="s">
        <v>43</v>
      </c>
    </row>
    <row r="575" spans="1:14" x14ac:dyDescent="0.3">
      <c r="A575" s="36" t="s">
        <v>37</v>
      </c>
      <c r="B575" s="13">
        <v>110</v>
      </c>
      <c r="C575" s="48" t="str">
        <f>HYPERLINK("https://uscode.house.gov/statutes/pl/110/297.pdf", "P.L. 110-297")</f>
        <v>P.L. 110-297</v>
      </c>
      <c r="D575" s="3" t="s">
        <v>1133</v>
      </c>
      <c r="F575" s="3" t="s">
        <v>1134</v>
      </c>
      <c r="G575" s="49"/>
      <c r="H575" s="46">
        <v>40816</v>
      </c>
      <c r="I575" s="13">
        <v>2011</v>
      </c>
      <c r="J575" s="47">
        <v>5000000</v>
      </c>
      <c r="K575" s="16" t="s">
        <v>62</v>
      </c>
      <c r="L575" s="3" t="s">
        <v>47</v>
      </c>
      <c r="M575" s="3" t="s">
        <v>67</v>
      </c>
      <c r="N575" s="3" t="s">
        <v>58</v>
      </c>
    </row>
    <row r="576" spans="1:14" x14ac:dyDescent="0.3">
      <c r="A576" s="36" t="s">
        <v>37</v>
      </c>
      <c r="B576" s="13">
        <v>110</v>
      </c>
      <c r="C576" s="48" t="str">
        <f>HYPERLINK("https://uscode.house.gov/statutes/pl/110/297.pdf", "P.L. 110-297")</f>
        <v>P.L. 110-297</v>
      </c>
      <c r="D576" s="3" t="s">
        <v>1133</v>
      </c>
      <c r="F576" s="3" t="s">
        <v>1135</v>
      </c>
      <c r="G576" s="49"/>
      <c r="H576" s="46">
        <v>40816</v>
      </c>
      <c r="I576" s="13">
        <v>2011</v>
      </c>
      <c r="J576" s="47">
        <v>5500000</v>
      </c>
      <c r="K576" s="16" t="s">
        <v>62</v>
      </c>
      <c r="L576" s="3" t="s">
        <v>47</v>
      </c>
      <c r="M576" s="3" t="s">
        <v>67</v>
      </c>
      <c r="N576" s="3" t="s">
        <v>58</v>
      </c>
    </row>
    <row r="577" spans="1:14" x14ac:dyDescent="0.3">
      <c r="A577" s="36" t="s">
        <v>37</v>
      </c>
      <c r="B577" s="13">
        <v>110</v>
      </c>
      <c r="C577" s="48" t="str">
        <f>HYPERLINK("https://uscode.house.gov/statutes/pl/110/314.pdf", "P.L. 110-314")</f>
        <v>P.L. 110-314</v>
      </c>
      <c r="D577" s="3" t="s">
        <v>1136</v>
      </c>
      <c r="E577" s="3" t="s">
        <v>1137</v>
      </c>
      <c r="F577" s="3" t="s">
        <v>1138</v>
      </c>
      <c r="G577" s="48" t="str">
        <f>HYPERLINK("https://uscode.house.gov/view.xhtml?req=granuleid:USC-prelim-title15-section2081&amp;num=0&amp;edition=prelim", "15 U.S.C. 2081(a)(1)")</f>
        <v>15 U.S.C. 2081(a)(1)</v>
      </c>
      <c r="H577" s="46">
        <v>41912</v>
      </c>
      <c r="I577" s="13">
        <v>2014</v>
      </c>
      <c r="J577" s="47">
        <v>136409000</v>
      </c>
      <c r="K577" s="47">
        <v>152500000</v>
      </c>
      <c r="L577" s="3" t="s">
        <v>60</v>
      </c>
      <c r="M577" s="3" t="s">
        <v>148</v>
      </c>
      <c r="N577" s="3" t="s">
        <v>55</v>
      </c>
    </row>
    <row r="578" spans="1:14" x14ac:dyDescent="0.3">
      <c r="A578" s="36" t="s">
        <v>37</v>
      </c>
      <c r="B578" s="13">
        <v>110</v>
      </c>
      <c r="C578" s="48" t="str">
        <f>HYPERLINK("https://uscode.house.gov/statutes/pl/110/134.pdf", "P.L. 110-134")</f>
        <v>P.L. 110-134</v>
      </c>
      <c r="D578" s="3" t="s">
        <v>997</v>
      </c>
      <c r="E578" s="3" t="s">
        <v>999</v>
      </c>
      <c r="F578" s="3" t="s">
        <v>1000</v>
      </c>
      <c r="G578" s="48" t="str">
        <f>HYPERLINK("https://uscode.house.gov/view.xhtml?req=granuleid:USC-prelim-title42-section9852b&amp;num=0&amp;edition=prelim", "42 U.S.C. 9852b(f)")</f>
        <v>42 U.S.C. 9852b(f)</v>
      </c>
      <c r="H578" s="46">
        <v>41182</v>
      </c>
      <c r="I578" s="13">
        <v>2012</v>
      </c>
      <c r="J578" s="16" t="s">
        <v>12</v>
      </c>
      <c r="K578" s="16" t="s">
        <v>62</v>
      </c>
      <c r="L578" s="3" t="s">
        <v>130</v>
      </c>
      <c r="M578" s="3" t="s">
        <v>71</v>
      </c>
      <c r="N578" s="3" t="s">
        <v>72</v>
      </c>
    </row>
    <row r="579" spans="1:14" x14ac:dyDescent="0.3">
      <c r="A579" s="36" t="s">
        <v>37</v>
      </c>
      <c r="B579" s="13">
        <v>110</v>
      </c>
      <c r="C579" s="48" t="str">
        <f>HYPERLINK("https://uscode.house.gov/statutes/pl/110/315.pdf", "P.L. 110-315")</f>
        <v>P.L. 110-315</v>
      </c>
      <c r="D579" s="3" t="s">
        <v>1139</v>
      </c>
      <c r="E579" s="3" t="s">
        <v>1173</v>
      </c>
      <c r="F579" s="3" t="s">
        <v>1174</v>
      </c>
      <c r="G579" s="48" t="str">
        <f>HYPERLINK("https://uscode.house.gov/view.xhtml?req=granuleid:USC-prelim-title15-section3704&amp;num=0&amp;edition=prelim", "15 U.S.C. 3704(c)")</f>
        <v>15 U.S.C. 3704(c)</v>
      </c>
      <c r="H579" s="46">
        <v>41182</v>
      </c>
      <c r="I579" s="13">
        <v>2012</v>
      </c>
      <c r="J579" s="16" t="s">
        <v>12</v>
      </c>
      <c r="K579" s="16" t="s">
        <v>62</v>
      </c>
      <c r="L579" s="3" t="s">
        <v>130</v>
      </c>
      <c r="M579" s="3" t="s">
        <v>71</v>
      </c>
      <c r="N579" s="3" t="s">
        <v>72</v>
      </c>
    </row>
    <row r="580" spans="1:14" x14ac:dyDescent="0.3">
      <c r="A580" s="36" t="s">
        <v>37</v>
      </c>
      <c r="B580" s="13">
        <v>111</v>
      </c>
      <c r="C580" s="48" t="str">
        <f>HYPERLINK("https://uscode.house.gov/statutes/pl/111/358.pdf", "P.L. 111-358")</f>
        <v>P.L. 111-358</v>
      </c>
      <c r="D580" s="3" t="s">
        <v>1609</v>
      </c>
      <c r="E580" s="3" t="s">
        <v>1612</v>
      </c>
      <c r="F580" s="3" t="s">
        <v>1613</v>
      </c>
      <c r="G580" s="48" t="str">
        <f>HYPERLINK("https://uscode.house.gov/view.xhtml?req=granuleid:USC-prelim-title20-section9833&amp;num=0&amp;edition=prelim", "20 U.S.C. 9833")</f>
        <v>20 U.S.C. 9833</v>
      </c>
      <c r="H580" s="46">
        <v>41547</v>
      </c>
      <c r="I580" s="13">
        <v>2013</v>
      </c>
      <c r="J580" s="47">
        <v>75000000</v>
      </c>
      <c r="K580" s="16" t="s">
        <v>62</v>
      </c>
      <c r="L580" s="3" t="s">
        <v>130</v>
      </c>
      <c r="M580" s="3" t="s">
        <v>148</v>
      </c>
      <c r="N580" s="3" t="s">
        <v>72</v>
      </c>
    </row>
    <row r="581" spans="1:14" x14ac:dyDescent="0.3">
      <c r="A581" s="36" t="s">
        <v>37</v>
      </c>
      <c r="B581" s="13">
        <v>111</v>
      </c>
      <c r="C581" s="48" t="str">
        <f>HYPERLINK("https://uscode.house.gov/statutes/pl/111/358.pdf", "P.L. 111-358")</f>
        <v>P.L. 111-358</v>
      </c>
      <c r="D581" s="3" t="s">
        <v>1609</v>
      </c>
      <c r="E581" s="3" t="s">
        <v>1614</v>
      </c>
      <c r="F581" s="3" t="s">
        <v>1615</v>
      </c>
      <c r="G581" s="48" t="str">
        <f>HYPERLINK("https://uscode.house.gov/view.xhtml?req=granuleid:USC-prelim-title20-section9871&amp;num=0&amp;edition=prelim", "20 U.S.C. 9871")</f>
        <v>20 U.S.C. 9871</v>
      </c>
      <c r="H581" s="46">
        <v>41547</v>
      </c>
      <c r="I581" s="13">
        <v>2013</v>
      </c>
      <c r="J581" s="47">
        <v>120000000</v>
      </c>
      <c r="K581" s="16" t="s">
        <v>62</v>
      </c>
      <c r="L581" s="3" t="s">
        <v>130</v>
      </c>
      <c r="M581" s="3" t="s">
        <v>148</v>
      </c>
      <c r="N581" s="3" t="s">
        <v>72</v>
      </c>
    </row>
    <row r="582" spans="1:14" x14ac:dyDescent="0.3">
      <c r="A582" s="36" t="s">
        <v>37</v>
      </c>
      <c r="B582" s="13">
        <v>110</v>
      </c>
      <c r="C582" s="48" t="str">
        <f t="shared" ref="C582:C624" si="20">HYPERLINK("https://uscode.house.gov/statutes/pl/110/315.pdf", "P.L. 110-315")</f>
        <v>P.L. 110-315</v>
      </c>
      <c r="D582" s="3" t="s">
        <v>1139</v>
      </c>
      <c r="E582" s="3" t="s">
        <v>1020</v>
      </c>
      <c r="F582" s="3" t="s">
        <v>1140</v>
      </c>
      <c r="G582" s="48" t="str">
        <f>HYPERLINK("https://uscode.house.gov/view.xhtml?req=granuleid:USC-prelim-title20-section1103c&amp;num=0&amp;edition=prelim", "20 U.S.C. 1103c(a)(1)")</f>
        <v>20 U.S.C. 1103c(a)(1)</v>
      </c>
      <c r="H582" s="46">
        <v>41912</v>
      </c>
      <c r="I582" s="13">
        <v>2014</v>
      </c>
      <c r="J582" s="16" t="s">
        <v>12</v>
      </c>
      <c r="K582" s="47">
        <v>27314000</v>
      </c>
      <c r="L582" s="3" t="s">
        <v>130</v>
      </c>
      <c r="M582" s="3" t="s">
        <v>71</v>
      </c>
      <c r="N582" s="3" t="s">
        <v>72</v>
      </c>
    </row>
    <row r="583" spans="1:14" x14ac:dyDescent="0.3">
      <c r="A583" s="36" t="s">
        <v>37</v>
      </c>
      <c r="B583" s="13">
        <v>110</v>
      </c>
      <c r="C583" s="48" t="str">
        <f t="shared" si="20"/>
        <v>P.L. 110-315</v>
      </c>
      <c r="D583" s="3" t="s">
        <v>1139</v>
      </c>
      <c r="E583" s="3" t="s">
        <v>1020</v>
      </c>
      <c r="F583" s="3" t="s">
        <v>1141</v>
      </c>
      <c r="G583" s="48" t="str">
        <f>HYPERLINK("https://uscode.house.gov/view.xhtml?req=granuleid:USC-prelim-title20-section1103a&amp;num=0&amp;edition=prelim", "20 U.S.C. 1103a(a)(2)")</f>
        <v>20 U.S.C. 1103a(a)(2)</v>
      </c>
      <c r="H583" s="46">
        <v>41912</v>
      </c>
      <c r="I583" s="13">
        <v>2014</v>
      </c>
      <c r="J583" s="16" t="s">
        <v>12</v>
      </c>
      <c r="K583" s="47">
        <v>227751000</v>
      </c>
      <c r="L583" s="3" t="s">
        <v>130</v>
      </c>
      <c r="M583" s="3" t="s">
        <v>71</v>
      </c>
      <c r="N583" s="3" t="s">
        <v>72</v>
      </c>
    </row>
    <row r="584" spans="1:14" x14ac:dyDescent="0.3">
      <c r="A584" s="36" t="s">
        <v>37</v>
      </c>
      <c r="B584" s="13">
        <v>110</v>
      </c>
      <c r="C584" s="48" t="str">
        <f t="shared" si="20"/>
        <v>P.L. 110-315</v>
      </c>
      <c r="D584" s="3" t="s">
        <v>1139</v>
      </c>
      <c r="E584" s="3" t="s">
        <v>1142</v>
      </c>
      <c r="F584" s="3" t="s">
        <v>1143</v>
      </c>
      <c r="G584" s="48" t="str">
        <f>HYPERLINK("https://uscode.house.gov/view.xhtml?req=granuleid:USC-prelim-title20-section1128b&amp;num=0&amp;edition=prelim", "20 U.S.C. 1128b")</f>
        <v>20 U.S.C. 1128b</v>
      </c>
      <c r="H584" s="46">
        <v>41912</v>
      </c>
      <c r="I584" s="13">
        <v>2014</v>
      </c>
      <c r="J584" s="16" t="s">
        <v>12</v>
      </c>
      <c r="K584" s="47">
        <v>85664000</v>
      </c>
      <c r="L584" s="3" t="s">
        <v>130</v>
      </c>
      <c r="M584" s="3" t="s">
        <v>71</v>
      </c>
      <c r="N584" s="3" t="s">
        <v>72</v>
      </c>
    </row>
    <row r="585" spans="1:14" x14ac:dyDescent="0.3">
      <c r="A585" s="36" t="s">
        <v>37</v>
      </c>
      <c r="B585" s="13">
        <v>110</v>
      </c>
      <c r="C585" s="48" t="str">
        <f t="shared" si="20"/>
        <v>P.L. 110-315</v>
      </c>
      <c r="D585" s="3" t="s">
        <v>1139</v>
      </c>
      <c r="E585" s="3" t="s">
        <v>1144</v>
      </c>
      <c r="F585" s="3" t="s">
        <v>1145</v>
      </c>
      <c r="G585" s="48" t="str">
        <f>HYPERLINK("https://uscode.house.gov/view.xhtml?req=granuleid:USC-prelim-title20-section1130b&amp;num=0&amp;edition=prelim", "20 U.S.C. 1130b")</f>
        <v>20 U.S.C. 1130b</v>
      </c>
      <c r="H585" s="46">
        <v>41912</v>
      </c>
      <c r="I585" s="13">
        <v>2014</v>
      </c>
      <c r="J585" s="16" t="s">
        <v>12</v>
      </c>
      <c r="K585" s="16" t="s">
        <v>62</v>
      </c>
      <c r="L585" s="3" t="s">
        <v>130</v>
      </c>
      <c r="M585" s="3" t="s">
        <v>71</v>
      </c>
      <c r="N585" s="3" t="s">
        <v>72</v>
      </c>
    </row>
    <row r="586" spans="1:14" x14ac:dyDescent="0.3">
      <c r="A586" s="36" t="s">
        <v>37</v>
      </c>
      <c r="B586" s="13">
        <v>110</v>
      </c>
      <c r="C586" s="48" t="str">
        <f t="shared" si="20"/>
        <v>P.L. 110-315</v>
      </c>
      <c r="D586" s="3" t="s">
        <v>1139</v>
      </c>
      <c r="E586" s="3" t="s">
        <v>940</v>
      </c>
      <c r="F586" s="3" t="s">
        <v>1146</v>
      </c>
      <c r="G586" s="48" t="str">
        <f>HYPERLINK("https://uscode.house.gov/view.xhtml?req=granuleid:USC-prelim-title20-section1135e&amp;num=0&amp;edition=prelim", "20 U.S.C. 1135e")</f>
        <v>20 U.S.C. 1135e</v>
      </c>
      <c r="H586" s="46">
        <v>41912</v>
      </c>
      <c r="I586" s="13">
        <v>2014</v>
      </c>
      <c r="J586" s="47">
        <v>35000000</v>
      </c>
      <c r="K586" s="47">
        <v>23547000</v>
      </c>
      <c r="L586" s="3" t="s">
        <v>130</v>
      </c>
      <c r="M586" s="3" t="s">
        <v>71</v>
      </c>
      <c r="N586" s="3" t="s">
        <v>72</v>
      </c>
    </row>
    <row r="587" spans="1:14" x14ac:dyDescent="0.3">
      <c r="A587" s="36" t="s">
        <v>37</v>
      </c>
      <c r="B587" s="13">
        <v>110</v>
      </c>
      <c r="C587" s="48" t="str">
        <f t="shared" si="20"/>
        <v>P.L. 110-315</v>
      </c>
      <c r="D587" s="3" t="s">
        <v>1139</v>
      </c>
      <c r="E587" s="3" t="s">
        <v>674</v>
      </c>
      <c r="F587" s="3" t="s">
        <v>1147</v>
      </c>
      <c r="G587" s="48" t="str">
        <f>HYPERLINK("https://uscode.house.gov/view.xhtml?req=granuleid:USC-prelim-title20-section1136c&amp;num=0&amp;edition=prelim", "20 U.S.C. 1136c")</f>
        <v>20 U.S.C. 1136c</v>
      </c>
      <c r="H587" s="46">
        <v>41912</v>
      </c>
      <c r="I587" s="13">
        <v>2014</v>
      </c>
      <c r="J587" s="16" t="s">
        <v>12</v>
      </c>
      <c r="K587" s="47">
        <v>19937000</v>
      </c>
      <c r="L587" s="3" t="s">
        <v>130</v>
      </c>
      <c r="M587" s="3" t="s">
        <v>71</v>
      </c>
      <c r="N587" s="3" t="s">
        <v>72</v>
      </c>
    </row>
    <row r="588" spans="1:14" x14ac:dyDescent="0.3">
      <c r="A588" s="36" t="s">
        <v>37</v>
      </c>
      <c r="B588" s="13">
        <v>110</v>
      </c>
      <c r="C588" s="48" t="str">
        <f t="shared" si="20"/>
        <v>P.L. 110-315</v>
      </c>
      <c r="D588" s="3" t="s">
        <v>1139</v>
      </c>
      <c r="E588" s="3" t="s">
        <v>1148</v>
      </c>
      <c r="F588" s="3" t="s">
        <v>1149</v>
      </c>
      <c r="G588" s="48" t="str">
        <f>HYPERLINK("https://uscode.house.gov/view.xhtml?req=granuleid:USC-prelim-title20-section1138&amp;num=0&amp;edition=prelim", "20 U.S.C. 1138(a)")</f>
        <v>20 U.S.C. 1138(a)</v>
      </c>
      <c r="H588" s="46">
        <v>41912</v>
      </c>
      <c r="I588" s="13">
        <v>2014</v>
      </c>
      <c r="J588" s="16" t="s">
        <v>12</v>
      </c>
      <c r="K588" s="47">
        <v>184000000</v>
      </c>
      <c r="L588" s="3" t="s">
        <v>130</v>
      </c>
      <c r="M588" s="3" t="s">
        <v>71</v>
      </c>
      <c r="N588" s="3" t="s">
        <v>72</v>
      </c>
    </row>
    <row r="589" spans="1:14" x14ac:dyDescent="0.3">
      <c r="A589" s="36" t="s">
        <v>37</v>
      </c>
      <c r="B589" s="13">
        <v>110</v>
      </c>
      <c r="C589" s="48" t="str">
        <f t="shared" si="20"/>
        <v>P.L. 110-315</v>
      </c>
      <c r="D589" s="3" t="s">
        <v>1139</v>
      </c>
      <c r="E589" s="3" t="s">
        <v>1150</v>
      </c>
      <c r="F589" s="3" t="s">
        <v>1151</v>
      </c>
      <c r="G589" s="48" t="str">
        <f>HYPERLINK("https://uscode.house.gov/view.xhtml?req=granuleid:USC-prelim-title20-section1140i&amp;num=0&amp;edition=prelim", "20 U.S.C. 1140i")</f>
        <v>20 U.S.C. 1140i</v>
      </c>
      <c r="H589" s="46">
        <v>41912</v>
      </c>
      <c r="I589" s="13">
        <v>2014</v>
      </c>
      <c r="J589" s="16" t="s">
        <v>12</v>
      </c>
      <c r="K589" s="47">
        <v>13800000</v>
      </c>
      <c r="L589" s="3" t="s">
        <v>130</v>
      </c>
      <c r="M589" s="3" t="s">
        <v>71</v>
      </c>
      <c r="N589" s="3" t="s">
        <v>72</v>
      </c>
    </row>
    <row r="590" spans="1:14" x14ac:dyDescent="0.3">
      <c r="A590" s="36" t="s">
        <v>37</v>
      </c>
      <c r="B590" s="13">
        <v>110</v>
      </c>
      <c r="C590" s="48" t="str">
        <f t="shared" si="20"/>
        <v>P.L. 110-315</v>
      </c>
      <c r="D590" s="3" t="s">
        <v>1139</v>
      </c>
      <c r="E590" s="3" t="s">
        <v>1152</v>
      </c>
      <c r="F590" s="3" t="s">
        <v>1153</v>
      </c>
      <c r="G590" s="48" t="str">
        <f>HYPERLINK("https://uscode.house.gov/view.xhtml?req=granuleid:USC-prelim-title20-section1161f&amp;num=0&amp;edition=prelim", "20 U.S.C. 1161f")</f>
        <v>20 U.S.C. 1161f</v>
      </c>
      <c r="H590" s="46">
        <v>41912</v>
      </c>
      <c r="I590" s="13">
        <v>2014</v>
      </c>
      <c r="J590" s="16" t="s">
        <v>12</v>
      </c>
      <c r="K590" s="16" t="s">
        <v>62</v>
      </c>
      <c r="L590" s="3" t="s">
        <v>130</v>
      </c>
      <c r="M590" s="3" t="s">
        <v>71</v>
      </c>
      <c r="N590" s="3" t="s">
        <v>72</v>
      </c>
    </row>
    <row r="591" spans="1:14" x14ac:dyDescent="0.3">
      <c r="A591" s="36" t="s">
        <v>37</v>
      </c>
      <c r="B591" s="13">
        <v>110</v>
      </c>
      <c r="C591" s="48" t="str">
        <f t="shared" si="20"/>
        <v>P.L. 110-315</v>
      </c>
      <c r="D591" s="3" t="s">
        <v>1139</v>
      </c>
      <c r="E591" s="3" t="s">
        <v>707</v>
      </c>
      <c r="F591" s="3" t="s">
        <v>1161</v>
      </c>
      <c r="G591" s="48" t="str">
        <f>HYPERLINK("https://uscode.house.gov/view.xhtml?req=granuleid:USC-prelim-title22-section4609&amp;num=0&amp;edition=prelim", "22 U.S.C. 4609(a)")</f>
        <v>22 U.S.C. 4609(a)</v>
      </c>
      <c r="H591" s="46">
        <v>41912</v>
      </c>
      <c r="I591" s="13">
        <v>2014</v>
      </c>
      <c r="J591" s="16" t="s">
        <v>12</v>
      </c>
      <c r="K591" s="47">
        <v>55000000</v>
      </c>
      <c r="L591" s="3" t="s">
        <v>80</v>
      </c>
      <c r="M591" s="3" t="s">
        <v>81</v>
      </c>
      <c r="N591" s="3" t="s">
        <v>82</v>
      </c>
    </row>
    <row r="592" spans="1:14" x14ac:dyDescent="0.3">
      <c r="A592" s="36" t="s">
        <v>37</v>
      </c>
      <c r="B592" s="13">
        <v>110</v>
      </c>
      <c r="C592" s="48" t="str">
        <f t="shared" si="20"/>
        <v>P.L. 110-315</v>
      </c>
      <c r="D592" s="3" t="s">
        <v>1139</v>
      </c>
      <c r="E592" s="3" t="s">
        <v>1154</v>
      </c>
      <c r="F592" s="3" t="s">
        <v>1155</v>
      </c>
      <c r="G592" s="48" t="str">
        <f>HYPERLINK("https://uscode.house.gov/view.xhtml?req=granuleid:USC-prelim-title20-section1161t&amp;num=0&amp;edition=prelim", "20 U.S.C. 1161t")</f>
        <v>20 U.S.C. 1161t</v>
      </c>
      <c r="H592" s="46">
        <v>41912</v>
      </c>
      <c r="I592" s="13">
        <v>2014</v>
      </c>
      <c r="J592" s="16" t="s">
        <v>12</v>
      </c>
      <c r="K592" s="47">
        <v>9000000</v>
      </c>
      <c r="L592" s="3" t="s">
        <v>130</v>
      </c>
      <c r="M592" s="3" t="s">
        <v>71</v>
      </c>
      <c r="N592" s="3" t="s">
        <v>72</v>
      </c>
    </row>
    <row r="593" spans="1:14" x14ac:dyDescent="0.3">
      <c r="A593" s="36" t="s">
        <v>37</v>
      </c>
      <c r="B593" s="13">
        <v>110</v>
      </c>
      <c r="C593" s="48" t="str">
        <f t="shared" si="20"/>
        <v>P.L. 110-315</v>
      </c>
      <c r="D593" s="3" t="s">
        <v>1139</v>
      </c>
      <c r="E593" s="3" t="s">
        <v>1156</v>
      </c>
      <c r="F593" s="3" t="s">
        <v>1157</v>
      </c>
      <c r="G593" s="48" t="str">
        <f>HYPERLINK("https://uscode.house.gov/view.xhtml?req=granuleid:USC-prelim-title20-section4341&amp;num=0&amp;edition=prelim", "20 U.S.C. 4341")</f>
        <v>20 U.S.C. 4341</v>
      </c>
      <c r="H593" s="46">
        <v>41912</v>
      </c>
      <c r="I593" s="13">
        <v>2014</v>
      </c>
      <c r="J593" s="16" t="s">
        <v>12</v>
      </c>
      <c r="K593" s="16" t="s">
        <v>62</v>
      </c>
      <c r="L593" s="3" t="s">
        <v>130</v>
      </c>
      <c r="M593" s="3" t="s">
        <v>71</v>
      </c>
      <c r="N593" s="3" t="s">
        <v>72</v>
      </c>
    </row>
    <row r="594" spans="1:14" x14ac:dyDescent="0.3">
      <c r="A594" s="36" t="s">
        <v>37</v>
      </c>
      <c r="B594" s="13">
        <v>110</v>
      </c>
      <c r="C594" s="48" t="str">
        <f t="shared" si="20"/>
        <v>P.L. 110-315</v>
      </c>
      <c r="D594" s="3" t="s">
        <v>1139</v>
      </c>
      <c r="E594" s="3" t="s">
        <v>1158</v>
      </c>
      <c r="F594" s="3" t="s">
        <v>1159</v>
      </c>
      <c r="G594" s="48" t="str">
        <f>HYPERLINK("https://uscode.house.gov/view.xhtml?req=granuleid:USC-prelim-title20-section4360a&amp;num=0&amp;edition=prelim", "20 U.S.C. 4360a(a)")</f>
        <v>20 U.S.C. 4360a(a)</v>
      </c>
      <c r="H594" s="46">
        <v>41912</v>
      </c>
      <c r="I594" s="13">
        <v>2014</v>
      </c>
      <c r="J594" s="16" t="s">
        <v>12</v>
      </c>
      <c r="K594" s="47">
        <v>165361000</v>
      </c>
      <c r="L594" s="3" t="s">
        <v>130</v>
      </c>
      <c r="M594" s="3" t="s">
        <v>71</v>
      </c>
      <c r="N594" s="3" t="s">
        <v>72</v>
      </c>
    </row>
    <row r="595" spans="1:14" x14ac:dyDescent="0.3">
      <c r="A595" s="36" t="s">
        <v>37</v>
      </c>
      <c r="B595" s="13">
        <v>110</v>
      </c>
      <c r="C595" s="48" t="str">
        <f t="shared" si="20"/>
        <v>P.L. 110-315</v>
      </c>
      <c r="D595" s="3" t="s">
        <v>1139</v>
      </c>
      <c r="E595" s="3" t="s">
        <v>1158</v>
      </c>
      <c r="F595" s="3" t="s">
        <v>1160</v>
      </c>
      <c r="G595" s="48" t="str">
        <f>HYPERLINK("https://uscode.house.gov/view.xhtml?req=granuleid:USC-prelim-title20-section4360a&amp;num=0&amp;edition=prelim", "20 U.S.C. 4360a(b)")</f>
        <v>20 U.S.C. 4360a(b)</v>
      </c>
      <c r="H595" s="46">
        <v>41912</v>
      </c>
      <c r="I595" s="13">
        <v>2014</v>
      </c>
      <c r="J595" s="16" t="s">
        <v>12</v>
      </c>
      <c r="K595" s="47">
        <v>92500000</v>
      </c>
      <c r="L595" s="3" t="s">
        <v>130</v>
      </c>
      <c r="M595" s="3" t="s">
        <v>71</v>
      </c>
      <c r="N595" s="3" t="s">
        <v>72</v>
      </c>
    </row>
    <row r="596" spans="1:14" x14ac:dyDescent="0.3">
      <c r="A596" s="36" t="s">
        <v>37</v>
      </c>
      <c r="B596" s="13">
        <v>110</v>
      </c>
      <c r="C596" s="48" t="str">
        <f t="shared" si="20"/>
        <v>P.L. 110-315</v>
      </c>
      <c r="D596" s="3" t="s">
        <v>1139</v>
      </c>
      <c r="E596" s="3" t="s">
        <v>1162</v>
      </c>
      <c r="F596" s="3" t="s">
        <v>1163</v>
      </c>
      <c r="G596" s="48" t="str">
        <f>HYPERLINK("https://uscode.house.gov/view.xhtml?req=granuleid:USC-prelim-title25-section1810&amp;num=0&amp;edition=prelim", "25 U.S.C. 1810(a)")</f>
        <v>25 U.S.C. 1810(a)</v>
      </c>
      <c r="H596" s="46">
        <v>41912</v>
      </c>
      <c r="I596" s="13">
        <v>2014</v>
      </c>
      <c r="J596" s="16" t="s">
        <v>12</v>
      </c>
      <c r="K596" s="16" t="s">
        <v>62</v>
      </c>
      <c r="L596" s="3" t="s">
        <v>130</v>
      </c>
      <c r="M596" s="3" t="s">
        <v>71</v>
      </c>
      <c r="N596" s="3" t="s">
        <v>72</v>
      </c>
    </row>
    <row r="597" spans="1:14" x14ac:dyDescent="0.3">
      <c r="A597" s="36" t="s">
        <v>37</v>
      </c>
      <c r="B597" s="13">
        <v>110</v>
      </c>
      <c r="C597" s="48" t="str">
        <f t="shared" si="20"/>
        <v>P.L. 110-315</v>
      </c>
      <c r="D597" s="3" t="s">
        <v>1139</v>
      </c>
      <c r="E597" s="3" t="s">
        <v>1162</v>
      </c>
      <c r="F597" s="3" t="s">
        <v>1164</v>
      </c>
      <c r="G597" s="48" t="str">
        <f>HYPERLINK("https://uscode.house.gov/view.xhtml?req=granuleid:USC-prelim-title25-section1810&amp;num=0&amp;edition=prelim", "25 U.S.C. 1810(a)")</f>
        <v>25 U.S.C. 1810(a)</v>
      </c>
      <c r="H597" s="46">
        <v>41912</v>
      </c>
      <c r="I597" s="13">
        <v>2014</v>
      </c>
      <c r="J597" s="47">
        <v>3200000</v>
      </c>
      <c r="K597" s="16" t="s">
        <v>62</v>
      </c>
      <c r="L597" s="3" t="s">
        <v>130</v>
      </c>
      <c r="M597" s="3" t="s">
        <v>71</v>
      </c>
      <c r="N597" s="3" t="s">
        <v>72</v>
      </c>
    </row>
    <row r="598" spans="1:14" x14ac:dyDescent="0.3">
      <c r="A598" s="36" t="s">
        <v>37</v>
      </c>
      <c r="B598" s="13">
        <v>110</v>
      </c>
      <c r="C598" s="48" t="str">
        <f t="shared" si="20"/>
        <v>P.L. 110-315</v>
      </c>
      <c r="D598" s="3" t="s">
        <v>1139</v>
      </c>
      <c r="E598" s="3" t="s">
        <v>1162</v>
      </c>
      <c r="F598" s="3" t="s">
        <v>1165</v>
      </c>
      <c r="G598" s="48" t="str">
        <f>HYPERLINK("https://uscode.house.gov/view.xhtml?req=granuleid:USC-prelim-title25-section1810&amp;num=0&amp;edition=prelim", "25 U.S.C. 1810(a)")</f>
        <v>25 U.S.C. 1810(a)</v>
      </c>
      <c r="H598" s="46">
        <v>41912</v>
      </c>
      <c r="I598" s="13">
        <v>2014</v>
      </c>
      <c r="J598" s="16" t="s">
        <v>12</v>
      </c>
      <c r="K598" s="16" t="s">
        <v>62</v>
      </c>
      <c r="L598" s="3" t="s">
        <v>130</v>
      </c>
      <c r="M598" s="3" t="s">
        <v>71</v>
      </c>
      <c r="N598" s="3" t="s">
        <v>72</v>
      </c>
    </row>
    <row r="599" spans="1:14" x14ac:dyDescent="0.3">
      <c r="A599" s="36" t="s">
        <v>37</v>
      </c>
      <c r="B599" s="13">
        <v>110</v>
      </c>
      <c r="C599" s="48" t="str">
        <f t="shared" si="20"/>
        <v>P.L. 110-315</v>
      </c>
      <c r="D599" s="3" t="s">
        <v>1139</v>
      </c>
      <c r="E599" s="3" t="s">
        <v>1166</v>
      </c>
      <c r="F599" s="3" t="s">
        <v>1167</v>
      </c>
      <c r="G599" s="48" t="str">
        <f>HYPERLINK("https://uscode.house.gov/view.xhtml?req=granuleid:USC-prelim-title25-section1836&amp;num=0&amp;edition=prelim", "25 U.S.C. 1836(a)")</f>
        <v>25 U.S.C. 1836(a)</v>
      </c>
      <c r="H599" s="46">
        <v>41912</v>
      </c>
      <c r="I599" s="13">
        <v>2014</v>
      </c>
      <c r="J599" s="16" t="s">
        <v>12</v>
      </c>
      <c r="K599" s="16" t="s">
        <v>62</v>
      </c>
      <c r="L599" s="3" t="s">
        <v>130</v>
      </c>
      <c r="M599" s="3" t="s">
        <v>71</v>
      </c>
      <c r="N599" s="3" t="s">
        <v>72</v>
      </c>
    </row>
    <row r="600" spans="1:14" x14ac:dyDescent="0.3">
      <c r="A600" s="36" t="s">
        <v>37</v>
      </c>
      <c r="B600" s="13">
        <v>110</v>
      </c>
      <c r="C600" s="48" t="str">
        <f t="shared" si="20"/>
        <v>P.L. 110-315</v>
      </c>
      <c r="D600" s="3" t="s">
        <v>1139</v>
      </c>
      <c r="E600" s="3" t="s">
        <v>1168</v>
      </c>
      <c r="F600" s="3" t="s">
        <v>1169</v>
      </c>
      <c r="G600" s="48" t="str">
        <f>HYPERLINK("https://uscode.house.gov/view.xhtml?req=granuleid:USC-prelim-title25-section1852&amp;num=0&amp;edition=prelim", "25 U.S.C. 1852")</f>
        <v>25 U.S.C. 1852</v>
      </c>
      <c r="H600" s="46">
        <v>41912</v>
      </c>
      <c r="I600" s="13">
        <v>2014</v>
      </c>
      <c r="J600" s="16" t="s">
        <v>12</v>
      </c>
      <c r="K600" s="16" t="s">
        <v>62</v>
      </c>
      <c r="L600" s="3" t="s">
        <v>130</v>
      </c>
      <c r="M600" s="3" t="s">
        <v>71</v>
      </c>
      <c r="N600" s="3" t="s">
        <v>72</v>
      </c>
    </row>
    <row r="601" spans="1:14" x14ac:dyDescent="0.3">
      <c r="A601" s="36" t="s">
        <v>37</v>
      </c>
      <c r="B601" s="13">
        <v>110</v>
      </c>
      <c r="C601" s="48" t="str">
        <f t="shared" si="20"/>
        <v>P.L. 110-315</v>
      </c>
      <c r="D601" s="3" t="s">
        <v>1139</v>
      </c>
      <c r="E601" s="3" t="s">
        <v>709</v>
      </c>
      <c r="F601" s="3" t="s">
        <v>1170</v>
      </c>
      <c r="G601" s="49"/>
      <c r="H601" s="46">
        <v>41912</v>
      </c>
      <c r="I601" s="13">
        <v>2014</v>
      </c>
      <c r="J601" s="16" t="s">
        <v>12</v>
      </c>
      <c r="K601" s="16" t="s">
        <v>62</v>
      </c>
      <c r="L601" s="3" t="s">
        <v>130</v>
      </c>
      <c r="M601" s="3" t="s">
        <v>71</v>
      </c>
      <c r="N601" s="3" t="s">
        <v>72</v>
      </c>
    </row>
    <row r="602" spans="1:14" x14ac:dyDescent="0.3">
      <c r="A602" s="36" t="s">
        <v>37</v>
      </c>
      <c r="B602" s="13">
        <v>110</v>
      </c>
      <c r="C602" s="48" t="str">
        <f t="shared" si="20"/>
        <v>P.L. 110-315</v>
      </c>
      <c r="D602" s="3" t="s">
        <v>1139</v>
      </c>
      <c r="E602" s="3" t="s">
        <v>1171</v>
      </c>
      <c r="F602" s="3" t="s">
        <v>1172</v>
      </c>
      <c r="G602" s="48" t="str">
        <f>HYPERLINK("https://uscode.house.gov/view.xhtml?req=granuleid:USC-prelim-title34-section10671&amp;num=0&amp;edition=prelim", "34 U.S.C. 10671(j)")</f>
        <v>34 U.S.C. 10671(j)</v>
      </c>
      <c r="H602" s="46">
        <v>41912</v>
      </c>
      <c r="I602" s="13">
        <v>2014</v>
      </c>
      <c r="J602" s="16" t="s">
        <v>12</v>
      </c>
      <c r="K602" s="47">
        <v>5000000</v>
      </c>
      <c r="L602" s="3" t="s">
        <v>130</v>
      </c>
      <c r="M602" s="3" t="s">
        <v>71</v>
      </c>
      <c r="N602" s="3" t="s">
        <v>43</v>
      </c>
    </row>
    <row r="603" spans="1:14" x14ac:dyDescent="0.3">
      <c r="A603" s="36" t="s">
        <v>37</v>
      </c>
      <c r="B603" s="13">
        <v>110</v>
      </c>
      <c r="C603" s="48" t="str">
        <f t="shared" si="20"/>
        <v>P.L. 110-315</v>
      </c>
      <c r="D603" s="3" t="s">
        <v>1139</v>
      </c>
      <c r="E603" s="3" t="s">
        <v>646</v>
      </c>
      <c r="F603" s="3" t="s">
        <v>1175</v>
      </c>
      <c r="G603" s="48" t="str">
        <f>HYPERLINK("https://uscode.house.gov/view.xhtml?req=granuleid:USC-prelim-title20-section1011i&amp;num=0&amp;edition=prelim", "20 U.S.C. 1011i(e)(5)")</f>
        <v>20 U.S.C. 1011i(e)(5)</v>
      </c>
      <c r="H603" s="46">
        <v>41912</v>
      </c>
      <c r="I603" s="13">
        <v>2014</v>
      </c>
      <c r="J603" s="16" t="s">
        <v>12</v>
      </c>
      <c r="K603" s="16" t="s">
        <v>62</v>
      </c>
      <c r="L603" s="3" t="s">
        <v>130</v>
      </c>
      <c r="M603" s="3" t="s">
        <v>71</v>
      </c>
      <c r="N603" s="3" t="s">
        <v>72</v>
      </c>
    </row>
    <row r="604" spans="1:14" x14ac:dyDescent="0.3">
      <c r="A604" s="36" t="s">
        <v>37</v>
      </c>
      <c r="B604" s="13">
        <v>110</v>
      </c>
      <c r="C604" s="48" t="str">
        <f t="shared" si="20"/>
        <v>P.L. 110-315</v>
      </c>
      <c r="D604" s="3" t="s">
        <v>1139</v>
      </c>
      <c r="E604" s="3" t="s">
        <v>1178</v>
      </c>
      <c r="F604" s="3" t="s">
        <v>1179</v>
      </c>
      <c r="G604" s="48" t="str">
        <f>HYPERLINK("https://uscode.house.gov/view.xhtml?req=granuleid:USC-prelim-title20-section1068h&amp;num=0&amp;edition=prelim", "20 U.S.C. 1068h(a)(1A)")</f>
        <v>20 U.S.C. 1068h(a)(1A)</v>
      </c>
      <c r="H604" s="46">
        <v>41912</v>
      </c>
      <c r="I604" s="13">
        <v>2014</v>
      </c>
      <c r="J604" s="16" t="s">
        <v>12</v>
      </c>
      <c r="K604" s="47">
        <v>122070000</v>
      </c>
      <c r="L604" s="3" t="s">
        <v>130</v>
      </c>
      <c r="M604" s="3" t="s">
        <v>71</v>
      </c>
      <c r="N604" s="3" t="s">
        <v>72</v>
      </c>
    </row>
    <row r="605" spans="1:14" x14ac:dyDescent="0.3">
      <c r="A605" s="36" t="s">
        <v>37</v>
      </c>
      <c r="B605" s="13">
        <v>110</v>
      </c>
      <c r="C605" s="48" t="str">
        <f t="shared" si="20"/>
        <v>P.L. 110-315</v>
      </c>
      <c r="D605" s="3" t="s">
        <v>1139</v>
      </c>
      <c r="E605" s="3" t="s">
        <v>83</v>
      </c>
      <c r="F605" s="3" t="s">
        <v>1180</v>
      </c>
      <c r="G605" s="48" t="str">
        <f>HYPERLINK("https://uscode.house.gov/view.xhtml?req=granuleid:USC-prelim-title20-section1068h&amp;num=0&amp;edition=prelim", "20 U.S.C. 1068h(a)(1B)")</f>
        <v>20 U.S.C. 1068h(a)(1B)</v>
      </c>
      <c r="H605" s="46">
        <v>41912</v>
      </c>
      <c r="I605" s="13">
        <v>2014</v>
      </c>
      <c r="J605" s="16" t="s">
        <v>12</v>
      </c>
      <c r="K605" s="47">
        <v>51549000</v>
      </c>
      <c r="L605" s="3" t="s">
        <v>130</v>
      </c>
      <c r="M605" s="3" t="s">
        <v>71</v>
      </c>
      <c r="N605" s="3" t="s">
        <v>72</v>
      </c>
    </row>
    <row r="606" spans="1:14" x14ac:dyDescent="0.3">
      <c r="A606" s="36" t="s">
        <v>37</v>
      </c>
      <c r="B606" s="13">
        <v>110</v>
      </c>
      <c r="C606" s="48" t="str">
        <f t="shared" si="20"/>
        <v>P.L. 110-315</v>
      </c>
      <c r="D606" s="3" t="s">
        <v>1139</v>
      </c>
      <c r="E606" s="3" t="s">
        <v>1181</v>
      </c>
      <c r="F606" s="3" t="s">
        <v>1182</v>
      </c>
      <c r="G606" s="48" t="str">
        <f>HYPERLINK("https://uscode.house.gov/view.xhtml?req=granuleid:USC-prelim-title20-section1068h&amp;num=0&amp;edition=prelim", "20 U.S.C. 1068h(a)(1C)")</f>
        <v>20 U.S.C. 1068h(a)(1C)</v>
      </c>
      <c r="H606" s="46">
        <v>41912</v>
      </c>
      <c r="I606" s="13">
        <v>2014</v>
      </c>
      <c r="J606" s="16" t="s">
        <v>12</v>
      </c>
      <c r="K606" s="47">
        <v>24433000</v>
      </c>
      <c r="L606" s="3" t="s">
        <v>130</v>
      </c>
      <c r="M606" s="3" t="s">
        <v>71</v>
      </c>
      <c r="N606" s="3" t="s">
        <v>72</v>
      </c>
    </row>
    <row r="607" spans="1:14" x14ac:dyDescent="0.3">
      <c r="A607" s="36" t="s">
        <v>37</v>
      </c>
      <c r="B607" s="13">
        <v>110</v>
      </c>
      <c r="C607" s="48" t="str">
        <f t="shared" si="20"/>
        <v>P.L. 110-315</v>
      </c>
      <c r="D607" s="3" t="s">
        <v>1139</v>
      </c>
      <c r="E607" s="3" t="s">
        <v>1183</v>
      </c>
      <c r="F607" s="3" t="s">
        <v>1184</v>
      </c>
      <c r="G607" s="48" t="str">
        <f>HYPERLINK("https://uscode.house.gov/view.xhtml?req=granuleid:USC-prelim-title20-section1068h&amp;num=0&amp;edition=prelim", "20 U.S.C. 1068h(a)(1D)")</f>
        <v>20 U.S.C. 1068h(a)(1D)</v>
      </c>
      <c r="H607" s="46">
        <v>41912</v>
      </c>
      <c r="I607" s="13">
        <v>2014</v>
      </c>
      <c r="J607" s="47">
        <v>75000000</v>
      </c>
      <c r="K607" s="47">
        <v>22300000</v>
      </c>
      <c r="L607" s="3" t="s">
        <v>130</v>
      </c>
      <c r="M607" s="3" t="s">
        <v>71</v>
      </c>
      <c r="N607" s="3" t="s">
        <v>72</v>
      </c>
    </row>
    <row r="608" spans="1:14" x14ac:dyDescent="0.3">
      <c r="A608" s="36" t="s">
        <v>37</v>
      </c>
      <c r="B608" s="13">
        <v>110</v>
      </c>
      <c r="C608" s="48" t="str">
        <f t="shared" si="20"/>
        <v>P.L. 110-315</v>
      </c>
      <c r="D608" s="3" t="s">
        <v>1139</v>
      </c>
      <c r="E608" s="3" t="s">
        <v>87</v>
      </c>
      <c r="F608" s="3" t="s">
        <v>1185</v>
      </c>
      <c r="G608" s="48" t="str">
        <f>HYPERLINK("https://uscode.house.gov/view.xhtml?req=granuleid:USC-prelim-title20-section1068h&amp;num=0&amp;edition=prelim", "20 U.S.C. 1068h(a)(1E)")</f>
        <v>20 U.S.C. 1068h(a)(1E)</v>
      </c>
      <c r="H608" s="46">
        <v>41912</v>
      </c>
      <c r="I608" s="13">
        <v>2014</v>
      </c>
      <c r="J608" s="16" t="s">
        <v>12</v>
      </c>
      <c r="K608" s="47">
        <v>11405000</v>
      </c>
      <c r="L608" s="3" t="s">
        <v>130</v>
      </c>
      <c r="M608" s="3" t="s">
        <v>71</v>
      </c>
      <c r="N608" s="3" t="s">
        <v>72</v>
      </c>
    </row>
    <row r="609" spans="1:14" x14ac:dyDescent="0.3">
      <c r="A609" s="36" t="s">
        <v>37</v>
      </c>
      <c r="B609" s="13">
        <v>110</v>
      </c>
      <c r="C609" s="48" t="str">
        <f t="shared" si="20"/>
        <v>P.L. 110-315</v>
      </c>
      <c r="D609" s="3" t="s">
        <v>1139</v>
      </c>
      <c r="E609" s="3" t="s">
        <v>259</v>
      </c>
      <c r="F609" s="3" t="s">
        <v>1186</v>
      </c>
      <c r="G609" s="48" t="str">
        <f>HYPERLINK("https://uscode.house.gov/view.xhtml?req=granuleid:USC-prelim-title20-section1068h&amp;num=0&amp;edition=prelim", "20 U.S.C. 1068h(a)(1F)")</f>
        <v>20 U.S.C. 1068h(a)(1F)</v>
      </c>
      <c r="H609" s="46">
        <v>41912</v>
      </c>
      <c r="I609" s="13">
        <v>2014</v>
      </c>
      <c r="J609" s="16" t="s">
        <v>12</v>
      </c>
      <c r="K609" s="47">
        <v>18589000</v>
      </c>
      <c r="L609" s="3" t="s">
        <v>130</v>
      </c>
      <c r="M609" s="3" t="s">
        <v>71</v>
      </c>
      <c r="N609" s="3" t="s">
        <v>72</v>
      </c>
    </row>
    <row r="610" spans="1:14" x14ac:dyDescent="0.3">
      <c r="A610" s="36" t="s">
        <v>37</v>
      </c>
      <c r="B610" s="13">
        <v>110</v>
      </c>
      <c r="C610" s="48" t="str">
        <f t="shared" si="20"/>
        <v>P.L. 110-315</v>
      </c>
      <c r="D610" s="3" t="s">
        <v>1139</v>
      </c>
      <c r="E610" s="3" t="s">
        <v>1187</v>
      </c>
      <c r="F610" s="3" t="s">
        <v>1188</v>
      </c>
      <c r="G610" s="48" t="str">
        <f>HYPERLINK("https://uscode.house.gov/view.xhtml?req=granuleid:USC-prelim-title20-section1068h&amp;num=0&amp;edition=prelim", "20 U.S.C. 1068h(a)(2A)")</f>
        <v>20 U.S.C. 1068h(a)(2A)</v>
      </c>
      <c r="H610" s="46">
        <v>41912</v>
      </c>
      <c r="I610" s="13">
        <v>2014</v>
      </c>
      <c r="J610" s="16" t="s">
        <v>12</v>
      </c>
      <c r="K610" s="47">
        <v>395986000</v>
      </c>
      <c r="L610" s="3" t="s">
        <v>130</v>
      </c>
      <c r="M610" s="3" t="s">
        <v>71</v>
      </c>
      <c r="N610" s="3" t="s">
        <v>72</v>
      </c>
    </row>
    <row r="611" spans="1:14" x14ac:dyDescent="0.3">
      <c r="A611" s="36" t="s">
        <v>37</v>
      </c>
      <c r="B611" s="13">
        <v>110</v>
      </c>
      <c r="C611" s="48" t="str">
        <f t="shared" si="20"/>
        <v>P.L. 110-315</v>
      </c>
      <c r="D611" s="3" t="s">
        <v>1139</v>
      </c>
      <c r="E611" s="3" t="s">
        <v>1189</v>
      </c>
      <c r="F611" s="3" t="s">
        <v>1190</v>
      </c>
      <c r="G611" s="48" t="str">
        <f>HYPERLINK("https://uscode.house.gov/view.xhtml?req=granuleid:USC-prelim-title20-section1068h&amp;num=0&amp;edition=prelim", "20 U.S.C. 1068h(a)(2B)")</f>
        <v>20 U.S.C. 1068h(a)(2B)</v>
      </c>
      <c r="H611" s="46">
        <v>41912</v>
      </c>
      <c r="I611" s="13">
        <v>2014</v>
      </c>
      <c r="J611" s="16" t="s">
        <v>12</v>
      </c>
      <c r="K611" s="47">
        <v>100782000</v>
      </c>
      <c r="L611" s="3" t="s">
        <v>130</v>
      </c>
      <c r="M611" s="3" t="s">
        <v>71</v>
      </c>
      <c r="N611" s="3" t="s">
        <v>72</v>
      </c>
    </row>
    <row r="612" spans="1:14" x14ac:dyDescent="0.3">
      <c r="A612" s="36" t="s">
        <v>37</v>
      </c>
      <c r="B612" s="13">
        <v>110</v>
      </c>
      <c r="C612" s="48" t="str">
        <f t="shared" si="20"/>
        <v>P.L. 110-315</v>
      </c>
      <c r="D612" s="3" t="s">
        <v>1139</v>
      </c>
      <c r="E612" s="3" t="s">
        <v>1191</v>
      </c>
      <c r="F612" s="3" t="s">
        <v>1192</v>
      </c>
      <c r="G612" s="48" t="str">
        <f>HYPERLINK("https://uscode.house.gov/view.xhtml?req=granuleid:USC-prelim-title20-section1068h&amp;num=0&amp;edition=prelim", "20 U.S.C. 1068h(a)(4A)")</f>
        <v>20 U.S.C. 1068h(a)(4A)</v>
      </c>
      <c r="H612" s="46">
        <v>41912</v>
      </c>
      <c r="I612" s="13">
        <v>2014</v>
      </c>
      <c r="J612" s="16" t="s">
        <v>12</v>
      </c>
      <c r="K612" s="47">
        <v>20150000</v>
      </c>
      <c r="L612" s="3" t="s">
        <v>130</v>
      </c>
      <c r="M612" s="3" t="s">
        <v>71</v>
      </c>
      <c r="N612" s="3" t="s">
        <v>72</v>
      </c>
    </row>
    <row r="613" spans="1:14" x14ac:dyDescent="0.3">
      <c r="A613" s="36" t="s">
        <v>37</v>
      </c>
      <c r="B613" s="13">
        <v>110</v>
      </c>
      <c r="C613" s="48" t="str">
        <f t="shared" si="20"/>
        <v>P.L. 110-315</v>
      </c>
      <c r="D613" s="3" t="s">
        <v>1139</v>
      </c>
      <c r="E613" s="3" t="s">
        <v>1193</v>
      </c>
      <c r="F613" s="3" t="s">
        <v>1194</v>
      </c>
      <c r="G613" s="48" t="str">
        <f>HYPERLINK("https://uscode.house.gov/view.xhtml?req=granuleid:USC-prelim-title20-section1068h&amp;num=0&amp;edition=prelim", "20 U.S.C. 1068h(a)(4B)")</f>
        <v>20 U.S.C. 1068h(a)(4B)</v>
      </c>
      <c r="H613" s="46">
        <v>41912</v>
      </c>
      <c r="I613" s="13">
        <v>2014</v>
      </c>
      <c r="J613" s="16" t="s">
        <v>12</v>
      </c>
      <c r="K613" s="47">
        <v>528000</v>
      </c>
      <c r="L613" s="3" t="s">
        <v>130</v>
      </c>
      <c r="M613" s="3" t="s">
        <v>71</v>
      </c>
      <c r="N613" s="3" t="s">
        <v>72</v>
      </c>
    </row>
    <row r="614" spans="1:14" x14ac:dyDescent="0.3">
      <c r="A614" s="36" t="s">
        <v>37</v>
      </c>
      <c r="B614" s="13">
        <v>110</v>
      </c>
      <c r="C614" s="48" t="str">
        <f t="shared" si="20"/>
        <v>P.L. 110-315</v>
      </c>
      <c r="D614" s="3" t="s">
        <v>1139</v>
      </c>
      <c r="E614" s="3" t="s">
        <v>1195</v>
      </c>
      <c r="F614" s="3" t="s">
        <v>1196</v>
      </c>
      <c r="G614" s="48" t="str">
        <f>HYPERLINK("https://uscode.house.gov/view.xhtml?req=granuleid:USC-prelim-title20-section1068h&amp;num=0&amp;edition=prelim", "20 U.S.C. 1068h(a)(5A)")</f>
        <v>20 U.S.C. 1068h(a)(5A)</v>
      </c>
      <c r="H614" s="46">
        <v>41912</v>
      </c>
      <c r="I614" s="13">
        <v>2014</v>
      </c>
      <c r="J614" s="16" t="s">
        <v>12</v>
      </c>
      <c r="K614" s="47">
        <v>16370000</v>
      </c>
      <c r="L614" s="3" t="s">
        <v>130</v>
      </c>
      <c r="M614" s="3" t="s">
        <v>71</v>
      </c>
      <c r="N614" s="3" t="s">
        <v>72</v>
      </c>
    </row>
    <row r="615" spans="1:14" x14ac:dyDescent="0.3">
      <c r="A615" s="36" t="s">
        <v>37</v>
      </c>
      <c r="B615" s="13">
        <v>110</v>
      </c>
      <c r="C615" s="48" t="str">
        <f t="shared" si="20"/>
        <v>P.L. 110-315</v>
      </c>
      <c r="D615" s="3" t="s">
        <v>1139</v>
      </c>
      <c r="E615" s="3" t="s">
        <v>1197</v>
      </c>
      <c r="F615" s="3" t="s">
        <v>1198</v>
      </c>
      <c r="G615" s="48" t="str">
        <f>HYPERLINK("https://uscode.house.gov/view.xhtml?req=granuleid:USC-prelim-title20-section1068h&amp;num=0&amp;edition=prelim", "20 U.S.C. 1068h(a)(5B)")</f>
        <v>20 U.S.C. 1068h(a)(5B)</v>
      </c>
      <c r="H615" s="46">
        <v>41912</v>
      </c>
      <c r="I615" s="13">
        <v>2014</v>
      </c>
      <c r="J615" s="16" t="s">
        <v>12</v>
      </c>
      <c r="K615" s="16" t="s">
        <v>62</v>
      </c>
      <c r="L615" s="3" t="s">
        <v>130</v>
      </c>
      <c r="M615" s="3" t="s">
        <v>71</v>
      </c>
      <c r="N615" s="3" t="s">
        <v>72</v>
      </c>
    </row>
    <row r="616" spans="1:14" x14ac:dyDescent="0.3">
      <c r="A616" s="36" t="s">
        <v>37</v>
      </c>
      <c r="B616" s="13">
        <v>110</v>
      </c>
      <c r="C616" s="48" t="str">
        <f t="shared" si="20"/>
        <v>P.L. 110-315</v>
      </c>
      <c r="D616" s="3" t="s">
        <v>1139</v>
      </c>
      <c r="E616" s="3" t="s">
        <v>904</v>
      </c>
      <c r="F616" s="3" t="s">
        <v>1199</v>
      </c>
      <c r="G616" s="48" t="str">
        <f>HYPERLINK("https://uscode.house.gov/view.xhtml?req=granuleid:USC-prelim-title20-section1070a-11&amp;num=0&amp;edition=prelim", "20 U.S.C. 1070a-11")</f>
        <v>20 U.S.C. 1070a-11</v>
      </c>
      <c r="H616" s="46">
        <v>41912</v>
      </c>
      <c r="I616" s="13">
        <v>2014</v>
      </c>
      <c r="J616" s="16" t="s">
        <v>12</v>
      </c>
      <c r="K616" s="47">
        <v>1191000000</v>
      </c>
      <c r="L616" s="3" t="s">
        <v>130</v>
      </c>
      <c r="M616" s="3" t="s">
        <v>71</v>
      </c>
      <c r="N616" s="3" t="s">
        <v>72</v>
      </c>
    </row>
    <row r="617" spans="1:14" x14ac:dyDescent="0.3">
      <c r="A617" s="36" t="s">
        <v>37</v>
      </c>
      <c r="B617" s="13">
        <v>110</v>
      </c>
      <c r="C617" s="48" t="str">
        <f t="shared" si="20"/>
        <v>P.L. 110-315</v>
      </c>
      <c r="D617" s="3" t="s">
        <v>1139</v>
      </c>
      <c r="E617" s="3" t="s">
        <v>1200</v>
      </c>
      <c r="F617" s="3" t="s">
        <v>1201</v>
      </c>
      <c r="G617" s="48" t="str">
        <f>HYPERLINK("https://uscode.house.gov/view.xhtml?req=granuleid:USC-prelim-title20-section1070a-28&amp;num=0&amp;edition=prelim", "20 U.S.C. 1070a-28")</f>
        <v>20 U.S.C. 1070a-28</v>
      </c>
      <c r="H617" s="46">
        <v>41912</v>
      </c>
      <c r="I617" s="13">
        <v>2014</v>
      </c>
      <c r="J617" s="16" t="s">
        <v>12</v>
      </c>
      <c r="K617" s="47">
        <v>388000000</v>
      </c>
      <c r="L617" s="3" t="s">
        <v>130</v>
      </c>
      <c r="M617" s="3" t="s">
        <v>71</v>
      </c>
      <c r="N617" s="3" t="s">
        <v>72</v>
      </c>
    </row>
    <row r="618" spans="1:14" x14ac:dyDescent="0.3">
      <c r="A618" s="36" t="s">
        <v>37</v>
      </c>
      <c r="B618" s="13">
        <v>110</v>
      </c>
      <c r="C618" s="48" t="str">
        <f t="shared" si="20"/>
        <v>P.L. 110-315</v>
      </c>
      <c r="D618" s="3" t="s">
        <v>1139</v>
      </c>
      <c r="E618" s="3" t="s">
        <v>93</v>
      </c>
      <c r="F618" s="3" t="s">
        <v>1202</v>
      </c>
      <c r="G618" s="48" t="str">
        <f>HYPERLINK("https://uscode.house.gov/view.xhtml?req=granuleid:USC-prelim-title20-section1070b&amp;num=0&amp;edition=prelim", "20 U.S.C. 1070b(b)")</f>
        <v>20 U.S.C. 1070b(b)</v>
      </c>
      <c r="H618" s="46">
        <v>41912</v>
      </c>
      <c r="I618" s="13">
        <v>2014</v>
      </c>
      <c r="J618" s="16" t="s">
        <v>12</v>
      </c>
      <c r="K618" s="47">
        <v>910000000</v>
      </c>
      <c r="L618" s="3" t="s">
        <v>130</v>
      </c>
      <c r="M618" s="3" t="s">
        <v>71</v>
      </c>
      <c r="N618" s="3" t="s">
        <v>72</v>
      </c>
    </row>
    <row r="619" spans="1:14" x14ac:dyDescent="0.3">
      <c r="A619" s="36" t="s">
        <v>37</v>
      </c>
      <c r="B619" s="13">
        <v>110</v>
      </c>
      <c r="C619" s="48" t="str">
        <f t="shared" si="20"/>
        <v>P.L. 110-315</v>
      </c>
      <c r="D619" s="3" t="s">
        <v>1139</v>
      </c>
      <c r="E619" s="3" t="s">
        <v>1203</v>
      </c>
      <c r="F619" s="3" t="s">
        <v>1204</v>
      </c>
      <c r="G619" s="48" t="str">
        <f>HYPERLINK("https://uscode.house.gov/view.xhtml?req=granuleid:USC-prelim-title20-section1070c&amp;num=0&amp;edition=prelim", "20 U.S.C. 1070c(b)(1)")</f>
        <v>20 U.S.C. 1070c(b)(1)</v>
      </c>
      <c r="H619" s="46">
        <v>41912</v>
      </c>
      <c r="I619" s="13">
        <v>2014</v>
      </c>
      <c r="J619" s="16" t="s">
        <v>12</v>
      </c>
      <c r="K619" s="16" t="s">
        <v>62</v>
      </c>
      <c r="L619" s="3" t="s">
        <v>130</v>
      </c>
      <c r="M619" s="3" t="s">
        <v>71</v>
      </c>
      <c r="N619" s="3" t="s">
        <v>72</v>
      </c>
    </row>
    <row r="620" spans="1:14" x14ac:dyDescent="0.3">
      <c r="A620" s="36" t="s">
        <v>37</v>
      </c>
      <c r="B620" s="13">
        <v>110</v>
      </c>
      <c r="C620" s="48" t="str">
        <f t="shared" si="20"/>
        <v>P.L. 110-315</v>
      </c>
      <c r="D620" s="3" t="s">
        <v>1139</v>
      </c>
      <c r="E620" s="3" t="s">
        <v>1205</v>
      </c>
      <c r="F620" s="3" t="s">
        <v>1206</v>
      </c>
      <c r="G620" s="48" t="str">
        <f>HYPERLINK("https://uscode.house.gov/view.xhtml?req=granuleid:USC-prelim-title20-section1070d-2&amp;num=0&amp;edition=prelim", "20 U.S.C. 1070d-2(i)")</f>
        <v>20 U.S.C. 1070d-2(i)</v>
      </c>
      <c r="H620" s="46">
        <v>41912</v>
      </c>
      <c r="I620" s="13">
        <v>2014</v>
      </c>
      <c r="J620" s="16" t="s">
        <v>12</v>
      </c>
      <c r="K620" s="16" t="s">
        <v>62</v>
      </c>
      <c r="L620" s="3" t="s">
        <v>130</v>
      </c>
      <c r="M620" s="3" t="s">
        <v>71</v>
      </c>
      <c r="N620" s="3" t="s">
        <v>72</v>
      </c>
    </row>
    <row r="621" spans="1:14" x14ac:dyDescent="0.3">
      <c r="A621" s="36" t="s">
        <v>37</v>
      </c>
      <c r="B621" s="13">
        <v>110</v>
      </c>
      <c r="C621" s="48" t="str">
        <f t="shared" si="20"/>
        <v>P.L. 110-315</v>
      </c>
      <c r="D621" s="3" t="s">
        <v>1139</v>
      </c>
      <c r="E621" s="3" t="s">
        <v>1207</v>
      </c>
      <c r="F621" s="3" t="s">
        <v>1208</v>
      </c>
      <c r="G621" s="48" t="str">
        <f>HYPERLINK("https://uscode.house.gov/view.xhtml?req=granuleid:USC-prelim-title20-section1070e&amp;num=0&amp;edition=prelim", "20 U.S.C. 1070e(g)")</f>
        <v>20 U.S.C. 1070e(g)</v>
      </c>
      <c r="H621" s="46">
        <v>41912</v>
      </c>
      <c r="I621" s="13">
        <v>2014</v>
      </c>
      <c r="J621" s="16" t="s">
        <v>12</v>
      </c>
      <c r="K621" s="47">
        <v>75000000</v>
      </c>
      <c r="L621" s="3" t="s">
        <v>130</v>
      </c>
      <c r="M621" s="3" t="s">
        <v>71</v>
      </c>
      <c r="N621" s="3" t="s">
        <v>72</v>
      </c>
    </row>
    <row r="622" spans="1:14" x14ac:dyDescent="0.3">
      <c r="A622" s="36" t="s">
        <v>37</v>
      </c>
      <c r="B622" s="13">
        <v>110</v>
      </c>
      <c r="C622" s="48" t="str">
        <f t="shared" si="20"/>
        <v>P.L. 110-315</v>
      </c>
      <c r="D622" s="3" t="s">
        <v>1139</v>
      </c>
      <c r="E622" s="3" t="s">
        <v>1209</v>
      </c>
      <c r="F622" s="3" t="s">
        <v>1210</v>
      </c>
      <c r="G622" s="48" t="str">
        <f>HYPERLINK("https://uscode.house.gov/view.xhtml?req=granuleid:USC-prelim-title20-section1078-11&amp;num=0&amp;edition=prelim", "20 U.S.C. 1078-11(h)")</f>
        <v>20 U.S.C. 1078-11(h)</v>
      </c>
      <c r="H622" s="46">
        <v>41912</v>
      </c>
      <c r="I622" s="13">
        <v>2014</v>
      </c>
      <c r="J622" s="16" t="s">
        <v>12</v>
      </c>
      <c r="K622" s="16" t="s">
        <v>62</v>
      </c>
      <c r="L622" s="3" t="s">
        <v>130</v>
      </c>
      <c r="M622" s="3" t="s">
        <v>71</v>
      </c>
      <c r="N622" s="3" t="s">
        <v>72</v>
      </c>
    </row>
    <row r="623" spans="1:14" x14ac:dyDescent="0.3">
      <c r="A623" s="36" t="s">
        <v>37</v>
      </c>
      <c r="B623" s="13">
        <v>110</v>
      </c>
      <c r="C623" s="48" t="str">
        <f t="shared" si="20"/>
        <v>P.L. 110-315</v>
      </c>
      <c r="D623" s="3" t="s">
        <v>1139</v>
      </c>
      <c r="E623" s="3" t="s">
        <v>1211</v>
      </c>
      <c r="F623" s="3" t="s">
        <v>1212</v>
      </c>
      <c r="G623" s="48" t="str">
        <f>HYPERLINK("https://uscode.house.gov/view.xhtml?req=granuleid:USC-prelim-title42-section2751&amp;num=0&amp;edition=prelim", "42 U.S.C. 2751(b)")</f>
        <v>42 U.S.C. 2751(b)</v>
      </c>
      <c r="H623" s="46">
        <v>41912</v>
      </c>
      <c r="I623" s="13">
        <v>2014</v>
      </c>
      <c r="J623" s="16" t="s">
        <v>12</v>
      </c>
      <c r="K623" s="47">
        <v>1230000000</v>
      </c>
      <c r="L623" s="3" t="s">
        <v>130</v>
      </c>
      <c r="M623" s="3" t="s">
        <v>71</v>
      </c>
      <c r="N623" s="3" t="s">
        <v>72</v>
      </c>
    </row>
    <row r="624" spans="1:14" x14ac:dyDescent="0.3">
      <c r="A624" s="36" t="s">
        <v>37</v>
      </c>
      <c r="B624" s="13">
        <v>110</v>
      </c>
      <c r="C624" s="48" t="str">
        <f t="shared" si="20"/>
        <v>P.L. 110-315</v>
      </c>
      <c r="D624" s="3" t="s">
        <v>1139</v>
      </c>
      <c r="E624" s="3" t="s">
        <v>1213</v>
      </c>
      <c r="F624" s="3" t="s">
        <v>1214</v>
      </c>
      <c r="G624" s="48" t="str">
        <f>HYPERLINK("https://uscode.house.gov/view.xhtml?req=granuleid:USC-prelim-title42-section2756a&amp;num=0&amp;edition=prelim", "42 U.S.C. 2756a(b)(4)")</f>
        <v>42 U.S.C. 2756a(b)(4)</v>
      </c>
      <c r="H624" s="46">
        <v>41912</v>
      </c>
      <c r="I624" s="13">
        <v>2014</v>
      </c>
      <c r="J624" s="16" t="s">
        <v>12</v>
      </c>
      <c r="K624" s="16" t="s">
        <v>62</v>
      </c>
      <c r="L624" s="3" t="s">
        <v>130</v>
      </c>
      <c r="M624" s="3" t="s">
        <v>71</v>
      </c>
      <c r="N624" s="3" t="s">
        <v>72</v>
      </c>
    </row>
    <row r="625" spans="1:14" x14ac:dyDescent="0.3">
      <c r="A625" s="36" t="s">
        <v>37</v>
      </c>
      <c r="B625" s="13">
        <v>110</v>
      </c>
      <c r="C625" s="48" t="str">
        <f>HYPERLINK("https://uscode.house.gov/statutes/pl/110/345.pdf", "P.L. 110-345")</f>
        <v>P.L. 110-345</v>
      </c>
      <c r="D625" s="3" t="s">
        <v>1218</v>
      </c>
      <c r="E625" s="3" t="s">
        <v>222</v>
      </c>
      <c r="F625" s="3" t="s">
        <v>1219</v>
      </c>
      <c r="G625" s="48" t="str">
        <f>HYPERLINK("https://uscode.house.gov/view.xhtml?req=granuleid:USC-prelim-title34-section10663&amp;num=0&amp;edition=prelim", "34 U.S.C. 10663(c)")</f>
        <v>34 U.S.C. 10663(c)</v>
      </c>
      <c r="H625" s="46">
        <v>40086</v>
      </c>
      <c r="I625" s="13">
        <v>2009</v>
      </c>
      <c r="J625" s="47">
        <v>20000000</v>
      </c>
      <c r="K625" s="16" t="s">
        <v>62</v>
      </c>
      <c r="L625" s="3" t="s">
        <v>41</v>
      </c>
      <c r="M625" s="3" t="s">
        <v>42</v>
      </c>
      <c r="N625" s="3" t="s">
        <v>43</v>
      </c>
    </row>
    <row r="626" spans="1:14" x14ac:dyDescent="0.3">
      <c r="A626" s="36" t="s">
        <v>37</v>
      </c>
      <c r="B626" s="13">
        <v>110</v>
      </c>
      <c r="C626" s="48" t="str">
        <f>HYPERLINK("https://uscode.house.gov/statutes/pl/110/354.pdf", "P.L. 110-354")</f>
        <v>P.L. 110-354</v>
      </c>
      <c r="D626" s="3" t="s">
        <v>1220</v>
      </c>
      <c r="E626" s="3" t="s">
        <v>69</v>
      </c>
      <c r="F626" s="3" t="s">
        <v>1221</v>
      </c>
      <c r="G626" s="48" t="str">
        <f>HYPERLINK("https://uscode.house.gov/view.xhtml?req=granuleid:USC-prelim-title42-section285a-12&amp;num=0&amp;edition=prelim", "42 U.S.C. 285a-12")</f>
        <v>42 U.S.C. 285a-12</v>
      </c>
      <c r="H626" s="46">
        <v>41182</v>
      </c>
      <c r="I626" s="13">
        <v>2012</v>
      </c>
      <c r="J626" s="47">
        <v>40000000</v>
      </c>
      <c r="K626" s="16" t="s">
        <v>62</v>
      </c>
      <c r="L626" s="3" t="s">
        <v>60</v>
      </c>
      <c r="M626" s="3" t="s">
        <v>71</v>
      </c>
      <c r="N626" s="3" t="s">
        <v>72</v>
      </c>
    </row>
    <row r="627" spans="1:14" x14ac:dyDescent="0.3">
      <c r="A627" s="36" t="s">
        <v>37</v>
      </c>
      <c r="B627" s="13">
        <v>110</v>
      </c>
      <c r="C627" s="48" t="str">
        <f>HYPERLINK("https://uscode.house.gov/statutes/pl/110/365.pdf", "P.L. 110-365")</f>
        <v>P.L. 110-365</v>
      </c>
      <c r="D627" s="3" t="s">
        <v>1222</v>
      </c>
      <c r="E627" s="3" t="s">
        <v>296</v>
      </c>
      <c r="F627" s="3" t="s">
        <v>1223</v>
      </c>
      <c r="G627" s="48" t="str">
        <f>HYPERLINK("https://uscode.house.gov/view.xhtml?req=granuleid:USC-prelim-title33-section1268&amp;num=0&amp;edition=prelim", "33 U.S.C. 1268(c)(12)")</f>
        <v>33 U.S.C. 1268(c)(12)</v>
      </c>
      <c r="H627" s="46">
        <v>40451</v>
      </c>
      <c r="I627" s="13">
        <v>2010</v>
      </c>
      <c r="J627" s="47">
        <v>50000000</v>
      </c>
      <c r="K627" s="16" t="s">
        <v>62</v>
      </c>
      <c r="L627" s="3" t="s">
        <v>109</v>
      </c>
      <c r="M627" s="3" t="s">
        <v>67</v>
      </c>
      <c r="N627" s="3" t="s">
        <v>49</v>
      </c>
    </row>
    <row r="628" spans="1:14" x14ac:dyDescent="0.3">
      <c r="A628" s="36" t="s">
        <v>37</v>
      </c>
      <c r="B628" s="13">
        <v>110</v>
      </c>
      <c r="C628" s="48" t="str">
        <f>HYPERLINK("https://uscode.house.gov/statutes/pl/110/365.pdf", "P.L. 110-365")</f>
        <v>P.L. 110-365</v>
      </c>
      <c r="D628" s="3" t="s">
        <v>1222</v>
      </c>
      <c r="E628" s="3" t="s">
        <v>45</v>
      </c>
      <c r="F628" s="3" t="s">
        <v>1224</v>
      </c>
      <c r="G628" s="48" t="str">
        <f>HYPERLINK("https://uscode.house.gov/view.xhtml?req=granuleid:USC-prelim-title33-section1271a&amp;num=0&amp;edition=prelim", "33 U.S.C. 1271a(b)")</f>
        <v>33 U.S.C. 1271a(b)</v>
      </c>
      <c r="H628" s="46">
        <v>40451</v>
      </c>
      <c r="I628" s="13">
        <v>2010</v>
      </c>
      <c r="J628" s="47">
        <v>3000000</v>
      </c>
      <c r="K628" s="16" t="s">
        <v>62</v>
      </c>
      <c r="L628" s="3" t="s">
        <v>109</v>
      </c>
      <c r="M628" s="3" t="s">
        <v>67</v>
      </c>
      <c r="N628" s="3" t="s">
        <v>49</v>
      </c>
    </row>
    <row r="629" spans="1:14" x14ac:dyDescent="0.3">
      <c r="A629" s="36" t="s">
        <v>37</v>
      </c>
      <c r="B629" s="13">
        <v>110</v>
      </c>
      <c r="C629" s="48" t="str">
        <f>HYPERLINK("https://uscode.house.gov/statutes/pl/110/365.pdf", "P.L. 110-365")</f>
        <v>P.L. 110-365</v>
      </c>
      <c r="D629" s="3" t="s">
        <v>1222</v>
      </c>
      <c r="E629" s="3" t="s">
        <v>45</v>
      </c>
      <c r="F629" s="3" t="s">
        <v>1225</v>
      </c>
      <c r="G629" s="48" t="str">
        <f>HYPERLINK("https://uscode.house.gov/view.xhtml?req=granuleid:USC-prelim-title33-section1268&amp;num=0&amp;edition=prelim", "33 U.S.C. 1268(13)(B)")</f>
        <v>33 U.S.C. 1268(13)(B)</v>
      </c>
      <c r="H629" s="46">
        <v>40451</v>
      </c>
      <c r="I629" s="13">
        <v>2010</v>
      </c>
      <c r="J629" s="47">
        <v>1000000</v>
      </c>
      <c r="K629" s="16" t="s">
        <v>62</v>
      </c>
      <c r="L629" s="3" t="s">
        <v>109</v>
      </c>
      <c r="M629" s="3" t="s">
        <v>67</v>
      </c>
      <c r="N629" s="3" t="s">
        <v>49</v>
      </c>
    </row>
    <row r="630" spans="1:14" x14ac:dyDescent="0.3">
      <c r="A630" s="36" t="s">
        <v>37</v>
      </c>
      <c r="B630" s="13">
        <v>110</v>
      </c>
      <c r="C630" s="48" t="str">
        <f>HYPERLINK("https://uscode.house.gov/statutes/pl/110/387.pdf", "P.L. 110-387")</f>
        <v>P.L. 110-387</v>
      </c>
      <c r="D630" s="3" t="s">
        <v>1226</v>
      </c>
      <c r="F630" s="3" t="s">
        <v>1227</v>
      </c>
      <c r="G630" s="49"/>
      <c r="H630" s="46">
        <v>40816</v>
      </c>
      <c r="I630" s="13">
        <v>2011</v>
      </c>
      <c r="J630" s="47">
        <v>1500000</v>
      </c>
      <c r="K630" s="16" t="s">
        <v>62</v>
      </c>
      <c r="L630" s="3" t="s">
        <v>265</v>
      </c>
      <c r="M630" s="3" t="s">
        <v>266</v>
      </c>
      <c r="N630" s="3" t="s">
        <v>267</v>
      </c>
    </row>
    <row r="631" spans="1:14" x14ac:dyDescent="0.3">
      <c r="A631" s="36" t="s">
        <v>37</v>
      </c>
      <c r="B631" s="13">
        <v>110</v>
      </c>
      <c r="C631" s="48" t="str">
        <f>HYPERLINK("https://uscode.house.gov/statutes/pl/110/387.pdf", "P.L. 110-387")</f>
        <v>P.L. 110-387</v>
      </c>
      <c r="D631" s="3" t="s">
        <v>1226</v>
      </c>
      <c r="F631" s="3" t="s">
        <v>1228</v>
      </c>
      <c r="G631" s="49"/>
      <c r="H631" s="46">
        <v>41182</v>
      </c>
      <c r="I631" s="13">
        <v>2012</v>
      </c>
      <c r="J631" s="47">
        <v>2000000</v>
      </c>
      <c r="K631" s="16" t="s">
        <v>62</v>
      </c>
      <c r="L631" s="3" t="s">
        <v>265</v>
      </c>
      <c r="M631" s="3" t="s">
        <v>266</v>
      </c>
      <c r="N631" s="3" t="s">
        <v>267</v>
      </c>
    </row>
    <row r="632" spans="1:14" x14ac:dyDescent="0.3">
      <c r="A632" s="36" t="s">
        <v>37</v>
      </c>
      <c r="B632" s="13">
        <v>110</v>
      </c>
      <c r="C632" s="48" t="str">
        <f>HYPERLINK("https://uscode.house.gov/statutes/pl/110/387.pdf", "P.L. 110-387")</f>
        <v>P.L. 110-387</v>
      </c>
      <c r="D632" s="3" t="s">
        <v>1226</v>
      </c>
      <c r="F632" s="3" t="s">
        <v>1229</v>
      </c>
      <c r="G632" s="49"/>
      <c r="H632" s="46">
        <v>40816</v>
      </c>
      <c r="I632" s="13">
        <v>2011</v>
      </c>
      <c r="J632" s="47">
        <v>1000000</v>
      </c>
      <c r="K632" s="16" t="s">
        <v>62</v>
      </c>
      <c r="L632" s="3" t="s">
        <v>265</v>
      </c>
      <c r="M632" s="3" t="s">
        <v>266</v>
      </c>
      <c r="N632" s="3" t="s">
        <v>267</v>
      </c>
    </row>
    <row r="633" spans="1:14" x14ac:dyDescent="0.3">
      <c r="A633" s="36" t="s">
        <v>37</v>
      </c>
      <c r="B633" s="13">
        <v>110</v>
      </c>
      <c r="C633" s="48" t="str">
        <f>HYPERLINK("https://uscode.house.gov/statutes/pl/110/392.pdf", "P.L. 110-392")</f>
        <v>P.L. 110-392</v>
      </c>
      <c r="D633" s="3" t="s">
        <v>1230</v>
      </c>
      <c r="E633" s="3" t="s">
        <v>245</v>
      </c>
      <c r="F633" s="3" t="s">
        <v>1231</v>
      </c>
      <c r="G633" s="48" t="str">
        <f>HYPERLINK("https://uscode.house.gov/view.xhtml?req=granuleid:USC-prelim-title42-section247b-6&amp;num=0&amp;edition=prelim", "42 U.S.C. 247b-6(h)")</f>
        <v>42 U.S.C. 247b-6(h)</v>
      </c>
      <c r="H633" s="46">
        <v>41547</v>
      </c>
      <c r="I633" s="13">
        <v>2013</v>
      </c>
      <c r="J633" s="47">
        <v>243101000</v>
      </c>
      <c r="K633" s="47">
        <v>137034000</v>
      </c>
      <c r="L633" s="3" t="s">
        <v>60</v>
      </c>
      <c r="M633" s="3" t="s">
        <v>71</v>
      </c>
      <c r="N633" s="3" t="s">
        <v>72</v>
      </c>
    </row>
    <row r="634" spans="1:14" x14ac:dyDescent="0.3">
      <c r="A634" s="36" t="s">
        <v>37</v>
      </c>
      <c r="B634" s="13">
        <v>110</v>
      </c>
      <c r="C634" s="48" t="str">
        <f>HYPERLINK("https://uscode.house.gov/statutes/pl/110/401.pdf", "P.L. 110-401")</f>
        <v>P.L. 110-401</v>
      </c>
      <c r="D634" s="3" t="s">
        <v>1232</v>
      </c>
      <c r="E634" s="3" t="s">
        <v>171</v>
      </c>
      <c r="F634" s="3" t="s">
        <v>1233</v>
      </c>
      <c r="G634" s="49"/>
      <c r="H634" s="46">
        <v>41547</v>
      </c>
      <c r="I634" s="13">
        <v>2013</v>
      </c>
      <c r="J634" s="47">
        <v>2000000</v>
      </c>
      <c r="K634" s="16" t="s">
        <v>62</v>
      </c>
      <c r="L634" s="3" t="s">
        <v>41</v>
      </c>
      <c r="M634" s="3" t="s">
        <v>42</v>
      </c>
      <c r="N634" s="3" t="s">
        <v>43</v>
      </c>
    </row>
    <row r="635" spans="1:14" x14ac:dyDescent="0.3">
      <c r="A635" s="36" t="s">
        <v>37</v>
      </c>
      <c r="B635" s="13">
        <v>110</v>
      </c>
      <c r="C635" s="48" t="str">
        <f>HYPERLINK("https://uscode.house.gov/statutes/pl/110/403.pdf", "P.L. 110-403")</f>
        <v>P.L. 110-403</v>
      </c>
      <c r="D635" s="3" t="s">
        <v>1234</v>
      </c>
      <c r="E635" s="3" t="s">
        <v>904</v>
      </c>
      <c r="F635" s="3" t="s">
        <v>1235</v>
      </c>
      <c r="G635" s="48" t="str">
        <f>HYPERLINK("https://uscode.house.gov/view.xhtml?req=granuleid:USC-prelim-title34-section30104&amp;num=0&amp;edition=prelim", "34 U.S.C. 30104(c)")</f>
        <v>34 U.S.C. 30104(c)</v>
      </c>
      <c r="H635" s="46">
        <v>41547</v>
      </c>
      <c r="I635" s="13">
        <v>2013</v>
      </c>
      <c r="J635" s="47">
        <v>20000000</v>
      </c>
      <c r="K635" s="16" t="s">
        <v>62</v>
      </c>
      <c r="L635" s="3" t="s">
        <v>41</v>
      </c>
      <c r="M635" s="3" t="s">
        <v>42</v>
      </c>
      <c r="N635" s="3" t="s">
        <v>43</v>
      </c>
    </row>
    <row r="636" spans="1:14" x14ac:dyDescent="0.3">
      <c r="A636" s="36" t="s">
        <v>37</v>
      </c>
      <c r="B636" s="13">
        <v>110</v>
      </c>
      <c r="C636" s="48" t="str">
        <f>HYPERLINK("https://uscode.house.gov/statutes/pl/110/403.pdf", "P.L. 110-403")</f>
        <v>P.L. 110-403</v>
      </c>
      <c r="D636" s="3" t="s">
        <v>1234</v>
      </c>
      <c r="E636" s="3" t="s">
        <v>180</v>
      </c>
      <c r="F636" s="3" t="s">
        <v>1236</v>
      </c>
      <c r="G636" s="49"/>
      <c r="H636" s="46">
        <v>41547</v>
      </c>
      <c r="I636" s="13">
        <v>2013</v>
      </c>
      <c r="J636" s="47">
        <v>10000000</v>
      </c>
      <c r="K636" s="16" t="s">
        <v>62</v>
      </c>
      <c r="L636" s="3" t="s">
        <v>41</v>
      </c>
      <c r="M636" s="3" t="s">
        <v>42</v>
      </c>
      <c r="N636" s="3" t="s">
        <v>43</v>
      </c>
    </row>
    <row r="637" spans="1:14" x14ac:dyDescent="0.3">
      <c r="A637" s="36" t="s">
        <v>37</v>
      </c>
      <c r="B637" s="13">
        <v>110</v>
      </c>
      <c r="C637" s="48" t="str">
        <f>HYPERLINK("https://uscode.house.gov/statutes/pl/110/403.pdf", "P.L. 110-403")</f>
        <v>P.L. 110-403</v>
      </c>
      <c r="D637" s="3" t="s">
        <v>1234</v>
      </c>
      <c r="E637" s="3" t="s">
        <v>1237</v>
      </c>
      <c r="F637" s="3" t="s">
        <v>1238</v>
      </c>
      <c r="G637" s="48" t="str">
        <f>HYPERLINK("https://uscode.house.gov/view.xhtml?req=granuleid:USC-prelim-title34-section30101&amp;num=0&amp;edition=prelim", "34 U.S.C. 30101(e)(1)")</f>
        <v>34 U.S.C. 30101(e)(1)</v>
      </c>
      <c r="H637" s="46">
        <v>41547</v>
      </c>
      <c r="I637" s="13">
        <v>2013</v>
      </c>
      <c r="J637" s="47">
        <v>25000000</v>
      </c>
      <c r="K637" s="47">
        <v>13000000</v>
      </c>
      <c r="L637" s="3" t="s">
        <v>41</v>
      </c>
      <c r="M637" s="3" t="s">
        <v>42</v>
      </c>
      <c r="N637" s="3" t="s">
        <v>43</v>
      </c>
    </row>
    <row r="638" spans="1:14" x14ac:dyDescent="0.3">
      <c r="A638" s="36" t="s">
        <v>37</v>
      </c>
      <c r="B638" s="13">
        <v>110</v>
      </c>
      <c r="C638" s="48" t="str">
        <f>HYPERLINK("https://uscode.house.gov/statutes/pl/110/411.pdf", "P.L. 110-411")</f>
        <v>P.L. 110-411</v>
      </c>
      <c r="D638" s="3" t="s">
        <v>1239</v>
      </c>
      <c r="E638" s="3" t="s">
        <v>358</v>
      </c>
      <c r="F638" s="3" t="s">
        <v>1240</v>
      </c>
      <c r="G638" s="49"/>
      <c r="H638" s="46">
        <v>41547</v>
      </c>
      <c r="I638" s="13">
        <v>2013</v>
      </c>
      <c r="J638" s="47">
        <v>1000000</v>
      </c>
      <c r="K638" s="16" t="s">
        <v>62</v>
      </c>
      <c r="L638" s="3" t="s">
        <v>156</v>
      </c>
      <c r="M638" s="3" t="s">
        <v>236</v>
      </c>
      <c r="N638" s="3" t="s">
        <v>158</v>
      </c>
    </row>
    <row r="639" spans="1:14" x14ac:dyDescent="0.3">
      <c r="A639" s="36" t="s">
        <v>37</v>
      </c>
      <c r="B639" s="13">
        <v>110</v>
      </c>
      <c r="C639" s="48" t="str">
        <f>HYPERLINK("https://uscode.house.gov/statutes/pl/110/411.pdf", "P.L. 110-411")</f>
        <v>P.L. 110-411</v>
      </c>
      <c r="D639" s="3" t="s">
        <v>1239</v>
      </c>
      <c r="E639" s="3" t="s">
        <v>1241</v>
      </c>
      <c r="F639" s="3" t="s">
        <v>1242</v>
      </c>
      <c r="G639" s="49"/>
      <c r="H639" s="46">
        <v>41547</v>
      </c>
      <c r="I639" s="13">
        <v>2013</v>
      </c>
      <c r="J639" s="16" t="s">
        <v>12</v>
      </c>
      <c r="K639" s="47">
        <v>937000000</v>
      </c>
      <c r="L639" s="3" t="s">
        <v>156</v>
      </c>
      <c r="M639" s="3" t="s">
        <v>236</v>
      </c>
      <c r="N639" s="3" t="s">
        <v>158</v>
      </c>
    </row>
    <row r="640" spans="1:14" x14ac:dyDescent="0.3">
      <c r="A640" s="36" t="s">
        <v>37</v>
      </c>
      <c r="B640" s="13">
        <v>110</v>
      </c>
      <c r="C640" s="48" t="str">
        <f>HYPERLINK("https://uscode.house.gov/statutes/pl/110/411.pdf", "P.L. 110-411")</f>
        <v>P.L. 110-411</v>
      </c>
      <c r="D640" s="3" t="s">
        <v>1239</v>
      </c>
      <c r="E640" s="3" t="s">
        <v>1243</v>
      </c>
      <c r="F640" s="3" t="s">
        <v>1244</v>
      </c>
      <c r="G640" s="49"/>
      <c r="H640" s="46">
        <v>41547</v>
      </c>
      <c r="I640" s="13">
        <v>2013</v>
      </c>
      <c r="J640" s="16" t="s">
        <v>12</v>
      </c>
      <c r="K640" s="47">
        <v>1000000</v>
      </c>
      <c r="L640" s="3" t="s">
        <v>156</v>
      </c>
      <c r="M640" s="3" t="s">
        <v>236</v>
      </c>
      <c r="N640" s="3" t="s">
        <v>158</v>
      </c>
    </row>
    <row r="641" spans="1:14" x14ac:dyDescent="0.3">
      <c r="A641" s="36" t="s">
        <v>37</v>
      </c>
      <c r="B641" s="13">
        <v>110</v>
      </c>
      <c r="C641" s="48" t="str">
        <f>HYPERLINK("https://uscode.house.gov/statutes/pl/110/411.pdf", "P.L. 110-411")</f>
        <v>P.L. 110-411</v>
      </c>
      <c r="D641" s="3" t="s">
        <v>1239</v>
      </c>
      <c r="E641" s="3" t="s">
        <v>1245</v>
      </c>
      <c r="F641" s="3" t="s">
        <v>1246</v>
      </c>
      <c r="G641" s="49"/>
      <c r="H641" s="46">
        <v>41547</v>
      </c>
      <c r="I641" s="13">
        <v>2013</v>
      </c>
      <c r="J641" s="16" t="s">
        <v>12</v>
      </c>
      <c r="K641" s="47">
        <v>7000000</v>
      </c>
      <c r="L641" s="3" t="s">
        <v>156</v>
      </c>
      <c r="M641" s="3" t="s">
        <v>236</v>
      </c>
      <c r="N641" s="3" t="s">
        <v>158</v>
      </c>
    </row>
    <row r="642" spans="1:14" x14ac:dyDescent="0.3">
      <c r="A642" s="36" t="s">
        <v>37</v>
      </c>
      <c r="B642" s="13">
        <v>110</v>
      </c>
      <c r="C642" s="48" t="str">
        <f>HYPERLINK("https://uscode.house.gov/statutes/pl/110/424.pdf", "P.L. 110-424")</f>
        <v>P.L. 110-424</v>
      </c>
      <c r="D642" s="3" t="s">
        <v>1247</v>
      </c>
      <c r="E642" s="3" t="s">
        <v>296</v>
      </c>
      <c r="F642" s="3" t="s">
        <v>1248</v>
      </c>
      <c r="G642" s="48" t="str">
        <f>HYPERLINK("https://uscode.house.gov/view.xhtml?req=granuleid:USC-prelim-title34-section10121&amp;num=0&amp;edition=prelim", "34 U.S.C. 10121(note)")</f>
        <v>34 U.S.C. 10121(note)</v>
      </c>
      <c r="H642" s="46">
        <v>41182</v>
      </c>
      <c r="I642" s="13">
        <v>2012</v>
      </c>
      <c r="J642" s="47">
        <v>4750000</v>
      </c>
      <c r="K642" s="16" t="s">
        <v>62</v>
      </c>
      <c r="L642" s="3" t="s">
        <v>41</v>
      </c>
      <c r="M642" s="3" t="s">
        <v>42</v>
      </c>
      <c r="N642" s="3" t="s">
        <v>43</v>
      </c>
    </row>
    <row r="643" spans="1:14" x14ac:dyDescent="0.3">
      <c r="A643" s="36" t="s">
        <v>37</v>
      </c>
      <c r="B643" s="13">
        <v>110</v>
      </c>
      <c r="C643" s="48" t="str">
        <f>HYPERLINK("https://uscode.house.gov/statutes/pl/110/431.pdf", "P.L. 110-431")</f>
        <v>P.L. 110-431</v>
      </c>
      <c r="D643" s="3" t="s">
        <v>1249</v>
      </c>
      <c r="F643" s="3" t="s">
        <v>1250</v>
      </c>
      <c r="G643" s="49"/>
      <c r="H643" s="46">
        <v>41547</v>
      </c>
      <c r="I643" s="13">
        <v>2013</v>
      </c>
      <c r="J643" s="47">
        <v>5000000</v>
      </c>
      <c r="K643" s="16" t="s">
        <v>62</v>
      </c>
      <c r="L643" s="3" t="s">
        <v>41</v>
      </c>
      <c r="M643" s="3" t="s">
        <v>42</v>
      </c>
      <c r="N643" s="3" t="s">
        <v>43</v>
      </c>
    </row>
    <row r="644" spans="1:14" x14ac:dyDescent="0.3">
      <c r="A644" s="36" t="s">
        <v>37</v>
      </c>
      <c r="B644" s="13">
        <v>110</v>
      </c>
      <c r="C644" s="48" t="str">
        <f>HYPERLINK("https://uscode.house.gov/statutes/pl/110/431.pdf", "P.L. 110-431")</f>
        <v>P.L. 110-431</v>
      </c>
      <c r="D644" s="3" t="s">
        <v>1249</v>
      </c>
      <c r="F644" s="3" t="s">
        <v>1251</v>
      </c>
      <c r="G644" s="49"/>
      <c r="H644" s="46">
        <v>41547</v>
      </c>
      <c r="I644" s="13">
        <v>2013</v>
      </c>
      <c r="J644" s="47">
        <v>5000000</v>
      </c>
      <c r="K644" s="16" t="s">
        <v>62</v>
      </c>
      <c r="L644" s="3" t="s">
        <v>41</v>
      </c>
      <c r="M644" s="3" t="s">
        <v>42</v>
      </c>
      <c r="N644" s="3" t="s">
        <v>43</v>
      </c>
    </row>
    <row r="645" spans="1:14" x14ac:dyDescent="0.3">
      <c r="A645" s="36" t="s">
        <v>37</v>
      </c>
      <c r="B645" s="13">
        <v>110</v>
      </c>
      <c r="C645" s="48" t="str">
        <f>HYPERLINK("https://uscode.house.gov/statutes/pl/110/431.pdf", "P.L. 110-431")</f>
        <v>P.L. 110-431</v>
      </c>
      <c r="D645" s="3" t="s">
        <v>1249</v>
      </c>
      <c r="F645" s="3" t="s">
        <v>1252</v>
      </c>
      <c r="G645" s="49"/>
      <c r="H645" s="46">
        <v>41547</v>
      </c>
      <c r="I645" s="13">
        <v>2013</v>
      </c>
      <c r="J645" s="47">
        <v>500000</v>
      </c>
      <c r="K645" s="16" t="s">
        <v>62</v>
      </c>
      <c r="L645" s="3" t="s">
        <v>41</v>
      </c>
      <c r="M645" s="3" t="s">
        <v>42</v>
      </c>
      <c r="N645" s="3" t="s">
        <v>43</v>
      </c>
    </row>
    <row r="646" spans="1:14" x14ac:dyDescent="0.3">
      <c r="A646" s="36" t="s">
        <v>37</v>
      </c>
      <c r="B646" s="13">
        <v>110</v>
      </c>
      <c r="C646" s="48" t="str">
        <f>HYPERLINK("https://uscode.house.gov/statutes/pl/110/431.pdf", "P.L. 110-431")</f>
        <v>P.L. 110-431</v>
      </c>
      <c r="D646" s="3" t="s">
        <v>1249</v>
      </c>
      <c r="F646" s="3" t="s">
        <v>1253</v>
      </c>
      <c r="G646" s="49"/>
      <c r="H646" s="46">
        <v>41547</v>
      </c>
      <c r="I646" s="13">
        <v>2013</v>
      </c>
      <c r="J646" s="47">
        <v>11000000</v>
      </c>
      <c r="K646" s="16" t="s">
        <v>62</v>
      </c>
      <c r="L646" s="3" t="s">
        <v>41</v>
      </c>
      <c r="M646" s="3" t="s">
        <v>42</v>
      </c>
      <c r="N646" s="3" t="s">
        <v>43</v>
      </c>
    </row>
    <row r="647" spans="1:14" x14ac:dyDescent="0.3">
      <c r="A647" s="36" t="s">
        <v>37</v>
      </c>
      <c r="B647" s="13">
        <v>110</v>
      </c>
      <c r="C647" s="48" t="str">
        <f>HYPERLINK("https://uscode.house.gov/statutes/pl/110/431.pdf", "P.L. 110-431")</f>
        <v>P.L. 110-431</v>
      </c>
      <c r="D647" s="3" t="s">
        <v>1249</v>
      </c>
      <c r="F647" s="3" t="s">
        <v>1254</v>
      </c>
      <c r="G647" s="49"/>
      <c r="H647" s="46">
        <v>41547</v>
      </c>
      <c r="I647" s="13">
        <v>2013</v>
      </c>
      <c r="J647" s="47">
        <v>7000000</v>
      </c>
      <c r="K647" s="16" t="s">
        <v>62</v>
      </c>
      <c r="L647" s="3" t="s">
        <v>41</v>
      </c>
      <c r="M647" s="3" t="s">
        <v>42</v>
      </c>
      <c r="N647" s="3" t="s">
        <v>43</v>
      </c>
    </row>
    <row r="648" spans="1:14" x14ac:dyDescent="0.3">
      <c r="A648" s="36" t="s">
        <v>37</v>
      </c>
      <c r="B648" s="13">
        <v>110</v>
      </c>
      <c r="C648" s="48" t="str">
        <f t="shared" ref="C648:C656" si="21">HYPERLINK("https://uscode.house.gov/statutes/pl/110/432.pdf", "P.L. 110-432")</f>
        <v>P.L. 110-432</v>
      </c>
      <c r="D648" s="3" t="s">
        <v>1255</v>
      </c>
      <c r="E648" s="3" t="s">
        <v>1256</v>
      </c>
      <c r="F648" s="3" t="s">
        <v>1257</v>
      </c>
      <c r="G648" s="49"/>
      <c r="H648" s="46">
        <v>41547</v>
      </c>
      <c r="I648" s="13">
        <v>2013</v>
      </c>
      <c r="J648" s="47">
        <v>18000000</v>
      </c>
      <c r="K648" s="16" t="s">
        <v>62</v>
      </c>
      <c r="L648" s="3" t="s">
        <v>109</v>
      </c>
      <c r="M648" s="3" t="s">
        <v>148</v>
      </c>
      <c r="N648" s="3" t="s">
        <v>158</v>
      </c>
    </row>
    <row r="649" spans="1:14" x14ac:dyDescent="0.3">
      <c r="A649" s="36" t="s">
        <v>37</v>
      </c>
      <c r="B649" s="13">
        <v>110</v>
      </c>
      <c r="C649" s="48" t="str">
        <f t="shared" si="21"/>
        <v>P.L. 110-432</v>
      </c>
      <c r="D649" s="3" t="s">
        <v>1255</v>
      </c>
      <c r="F649" s="3" t="s">
        <v>1258</v>
      </c>
      <c r="G649" s="49"/>
      <c r="H649" s="46">
        <v>41547</v>
      </c>
      <c r="I649" s="13">
        <v>2013</v>
      </c>
      <c r="J649" s="47">
        <v>50000000</v>
      </c>
      <c r="K649" s="16" t="s">
        <v>62</v>
      </c>
      <c r="L649" s="3" t="s">
        <v>109</v>
      </c>
      <c r="M649" s="3" t="s">
        <v>148</v>
      </c>
      <c r="N649" s="3" t="s">
        <v>158</v>
      </c>
    </row>
    <row r="650" spans="1:14" x14ac:dyDescent="0.3">
      <c r="A650" s="36" t="s">
        <v>37</v>
      </c>
      <c r="B650" s="13">
        <v>110</v>
      </c>
      <c r="C650" s="48" t="str">
        <f t="shared" si="21"/>
        <v>P.L. 110-432</v>
      </c>
      <c r="D650" s="3" t="s">
        <v>1255</v>
      </c>
      <c r="E650" s="3" t="s">
        <v>1259</v>
      </c>
      <c r="F650" s="3" t="s">
        <v>1260</v>
      </c>
      <c r="G650" s="49"/>
      <c r="H650" s="46">
        <v>41547</v>
      </c>
      <c r="I650" s="13">
        <v>2013</v>
      </c>
      <c r="J650" s="47">
        <v>1500000</v>
      </c>
      <c r="K650" s="16" t="s">
        <v>62</v>
      </c>
      <c r="L650" s="3" t="s">
        <v>109</v>
      </c>
      <c r="M650" s="3" t="s">
        <v>148</v>
      </c>
      <c r="N650" s="3" t="s">
        <v>158</v>
      </c>
    </row>
    <row r="651" spans="1:14" x14ac:dyDescent="0.3">
      <c r="A651" s="36" t="s">
        <v>37</v>
      </c>
      <c r="B651" s="13">
        <v>110</v>
      </c>
      <c r="C651" s="48" t="str">
        <f t="shared" si="21"/>
        <v>P.L. 110-432</v>
      </c>
      <c r="D651" s="3" t="s">
        <v>1255</v>
      </c>
      <c r="F651" s="3" t="s">
        <v>1261</v>
      </c>
      <c r="G651" s="49"/>
      <c r="H651" s="46">
        <v>41547</v>
      </c>
      <c r="I651" s="13">
        <v>2013</v>
      </c>
      <c r="J651" s="47">
        <v>5000000</v>
      </c>
      <c r="K651" s="16" t="s">
        <v>62</v>
      </c>
      <c r="L651" s="3" t="s">
        <v>109</v>
      </c>
      <c r="M651" s="3" t="s">
        <v>148</v>
      </c>
      <c r="N651" s="3" t="s">
        <v>158</v>
      </c>
    </row>
    <row r="652" spans="1:14" x14ac:dyDescent="0.3">
      <c r="A652" s="36" t="s">
        <v>37</v>
      </c>
      <c r="B652" s="13">
        <v>110</v>
      </c>
      <c r="C652" s="48" t="str">
        <f t="shared" si="21"/>
        <v>P.L. 110-432</v>
      </c>
      <c r="D652" s="3" t="s">
        <v>1255</v>
      </c>
      <c r="F652" s="3" t="s">
        <v>1262</v>
      </c>
      <c r="G652" s="49"/>
      <c r="H652" s="46">
        <v>40451</v>
      </c>
      <c r="I652" s="13">
        <v>2010</v>
      </c>
      <c r="J652" s="47">
        <v>5000000</v>
      </c>
      <c r="K652" s="16" t="s">
        <v>62</v>
      </c>
      <c r="L652" s="3" t="s">
        <v>109</v>
      </c>
      <c r="M652" s="3" t="s">
        <v>148</v>
      </c>
      <c r="N652" s="3" t="s">
        <v>158</v>
      </c>
    </row>
    <row r="653" spans="1:14" x14ac:dyDescent="0.3">
      <c r="A653" s="36" t="s">
        <v>37</v>
      </c>
      <c r="B653" s="13">
        <v>110</v>
      </c>
      <c r="C653" s="48" t="str">
        <f t="shared" si="21"/>
        <v>P.L. 110-432</v>
      </c>
      <c r="D653" s="3" t="s">
        <v>1255</v>
      </c>
      <c r="F653" s="3" t="s">
        <v>1263</v>
      </c>
      <c r="G653" s="49"/>
      <c r="H653" s="46">
        <v>41547</v>
      </c>
      <c r="I653" s="13">
        <v>2013</v>
      </c>
      <c r="J653" s="47">
        <v>5000000</v>
      </c>
      <c r="K653" s="16" t="s">
        <v>62</v>
      </c>
      <c r="L653" s="3" t="s">
        <v>109</v>
      </c>
      <c r="M653" s="3" t="s">
        <v>148</v>
      </c>
      <c r="N653" s="3" t="s">
        <v>158</v>
      </c>
    </row>
    <row r="654" spans="1:14" x14ac:dyDescent="0.3">
      <c r="A654" s="36" t="s">
        <v>37</v>
      </c>
      <c r="B654" s="13">
        <v>110</v>
      </c>
      <c r="C654" s="48" t="str">
        <f t="shared" si="21"/>
        <v>P.L. 110-432</v>
      </c>
      <c r="D654" s="3" t="s">
        <v>1255</v>
      </c>
      <c r="F654" s="3" t="s">
        <v>1264</v>
      </c>
      <c r="G654" s="49"/>
      <c r="H654" s="46">
        <v>41547</v>
      </c>
      <c r="I654" s="13">
        <v>2013</v>
      </c>
      <c r="J654" s="47">
        <v>30000000</v>
      </c>
      <c r="K654" s="16" t="s">
        <v>62</v>
      </c>
      <c r="L654" s="3" t="s">
        <v>109</v>
      </c>
      <c r="M654" s="3" t="s">
        <v>148</v>
      </c>
      <c r="N654" s="3" t="s">
        <v>158</v>
      </c>
    </row>
    <row r="655" spans="1:14" x14ac:dyDescent="0.3">
      <c r="A655" s="36" t="s">
        <v>37</v>
      </c>
      <c r="B655" s="13">
        <v>110</v>
      </c>
      <c r="C655" s="48" t="str">
        <f t="shared" si="21"/>
        <v>P.L. 110-432</v>
      </c>
      <c r="D655" s="3" t="s">
        <v>1255</v>
      </c>
      <c r="F655" s="3" t="s">
        <v>1265</v>
      </c>
      <c r="G655" s="49"/>
      <c r="H655" s="46">
        <v>41547</v>
      </c>
      <c r="I655" s="13">
        <v>2013</v>
      </c>
      <c r="J655" s="47">
        <v>350000000</v>
      </c>
      <c r="K655" s="16" t="s">
        <v>62</v>
      </c>
      <c r="L655" s="3" t="s">
        <v>109</v>
      </c>
      <c r="M655" s="3" t="s">
        <v>148</v>
      </c>
      <c r="N655" s="3" t="s">
        <v>158</v>
      </c>
    </row>
    <row r="656" spans="1:14" x14ac:dyDescent="0.3">
      <c r="A656" s="36" t="s">
        <v>37</v>
      </c>
      <c r="B656" s="13">
        <v>110</v>
      </c>
      <c r="C656" s="48" t="str">
        <f t="shared" si="21"/>
        <v>P.L. 110-432</v>
      </c>
      <c r="D656" s="3" t="s">
        <v>1255</v>
      </c>
      <c r="E656" s="3" t="s">
        <v>1266</v>
      </c>
      <c r="F656" s="3" t="s">
        <v>1267</v>
      </c>
      <c r="G656" s="49"/>
      <c r="H656" s="46">
        <v>41547</v>
      </c>
      <c r="I656" s="13">
        <v>2013</v>
      </c>
      <c r="J656" s="47">
        <v>60000000</v>
      </c>
      <c r="K656" s="16" t="s">
        <v>62</v>
      </c>
      <c r="L656" s="3" t="s">
        <v>109</v>
      </c>
      <c r="M656" s="3" t="s">
        <v>148</v>
      </c>
      <c r="N656" s="3" t="s">
        <v>158</v>
      </c>
    </row>
    <row r="657" spans="1:14" x14ac:dyDescent="0.3">
      <c r="A657" s="36" t="s">
        <v>37</v>
      </c>
      <c r="B657" s="13">
        <v>111</v>
      </c>
      <c r="C657" s="48" t="str">
        <f t="shared" ref="C657:C691" si="22">HYPERLINK("https://uscode.house.gov/statutes/pl/111/11.pdf", "P.L. 111-11")</f>
        <v>P.L. 111-11</v>
      </c>
      <c r="D657" s="3" t="s">
        <v>1268</v>
      </c>
      <c r="E657" s="3" t="s">
        <v>1269</v>
      </c>
      <c r="F657" s="3" t="s">
        <v>1270</v>
      </c>
      <c r="G657" s="49"/>
      <c r="H657" s="46">
        <v>43738</v>
      </c>
      <c r="I657" s="13">
        <v>2019</v>
      </c>
      <c r="J657" s="16" t="s">
        <v>12</v>
      </c>
      <c r="K657" s="16" t="s">
        <v>62</v>
      </c>
      <c r="L657" s="3" t="s">
        <v>47</v>
      </c>
      <c r="M657" s="3" t="s">
        <v>48</v>
      </c>
      <c r="N657" s="3" t="s">
        <v>49</v>
      </c>
    </row>
    <row r="658" spans="1:14" x14ac:dyDescent="0.3">
      <c r="A658" s="36" t="s">
        <v>37</v>
      </c>
      <c r="B658" s="13">
        <v>111</v>
      </c>
      <c r="C658" s="48" t="str">
        <f t="shared" si="22"/>
        <v>P.L. 111-11</v>
      </c>
      <c r="D658" s="3" t="s">
        <v>1268</v>
      </c>
      <c r="E658" s="3" t="s">
        <v>1271</v>
      </c>
      <c r="F658" s="3" t="s">
        <v>1272</v>
      </c>
      <c r="G658" s="48" t="str">
        <f>HYPERLINK("https://uscode.house.gov/view.xhtml?req=granuleid:USC-prelim-title36-section153514&amp;num=0&amp;edition=prelim", "36 U.S.C. 153514(a)")</f>
        <v>36 U.S.C. 153514(a)</v>
      </c>
      <c r="H658" s="46">
        <v>43008</v>
      </c>
      <c r="I658" s="13">
        <v>2017</v>
      </c>
      <c r="J658" s="47">
        <v>500000</v>
      </c>
      <c r="K658" s="16" t="s">
        <v>62</v>
      </c>
      <c r="L658" s="3" t="s">
        <v>47</v>
      </c>
      <c r="M658" s="3" t="s">
        <v>48</v>
      </c>
      <c r="N658" s="3" t="s">
        <v>49</v>
      </c>
    </row>
    <row r="659" spans="1:14" x14ac:dyDescent="0.3">
      <c r="A659" s="36" t="s">
        <v>37</v>
      </c>
      <c r="B659" s="13">
        <v>111</v>
      </c>
      <c r="C659" s="48" t="str">
        <f t="shared" si="22"/>
        <v>P.L. 111-11</v>
      </c>
      <c r="D659" s="3" t="s">
        <v>1268</v>
      </c>
      <c r="E659" s="3" t="s">
        <v>1273</v>
      </c>
      <c r="F659" s="3" t="s">
        <v>1274</v>
      </c>
      <c r="G659" s="49"/>
      <c r="H659" s="46">
        <v>43738</v>
      </c>
      <c r="I659" s="13">
        <v>2019</v>
      </c>
      <c r="J659" s="16" t="s">
        <v>12</v>
      </c>
      <c r="K659" s="16" t="s">
        <v>62</v>
      </c>
      <c r="L659" s="3" t="s">
        <v>47</v>
      </c>
      <c r="M659" s="3" t="s">
        <v>48</v>
      </c>
      <c r="N659" s="3" t="s">
        <v>49</v>
      </c>
    </row>
    <row r="660" spans="1:14" x14ac:dyDescent="0.3">
      <c r="A660" s="36" t="s">
        <v>37</v>
      </c>
      <c r="B660" s="13">
        <v>111</v>
      </c>
      <c r="C660" s="48" t="str">
        <f t="shared" si="22"/>
        <v>P.L. 111-11</v>
      </c>
      <c r="D660" s="3" t="s">
        <v>1268</v>
      </c>
      <c r="E660" s="3" t="s">
        <v>1275</v>
      </c>
      <c r="F660" s="3" t="s">
        <v>1276</v>
      </c>
      <c r="G660" s="48" t="str">
        <f>HYPERLINK("https://uscode.house.gov/view.xhtml?req=granuleid:USC-prelim-title42-section280g-9&amp;num=0&amp;edition=prelim", "42 U.S.C. 280g-9(e)")</f>
        <v>42 U.S.C. 280g-9(e)</v>
      </c>
      <c r="H660" s="46">
        <v>40816</v>
      </c>
      <c r="I660" s="13">
        <v>2011</v>
      </c>
      <c r="J660" s="47">
        <v>25000000</v>
      </c>
      <c r="K660" s="47">
        <v>10700000</v>
      </c>
      <c r="L660" s="3" t="s">
        <v>60</v>
      </c>
      <c r="M660" s="3" t="s">
        <v>71</v>
      </c>
      <c r="N660" s="3" t="s">
        <v>72</v>
      </c>
    </row>
    <row r="661" spans="1:14" x14ac:dyDescent="0.3">
      <c r="A661" s="36" t="s">
        <v>37</v>
      </c>
      <c r="B661" s="13">
        <v>111</v>
      </c>
      <c r="C661" s="48" t="str">
        <f t="shared" si="22"/>
        <v>P.L. 111-11</v>
      </c>
      <c r="D661" s="3" t="s">
        <v>1268</v>
      </c>
      <c r="E661" s="3" t="s">
        <v>1277</v>
      </c>
      <c r="F661" s="3" t="s">
        <v>1278</v>
      </c>
      <c r="G661" s="49"/>
      <c r="H661" s="46">
        <v>41547</v>
      </c>
      <c r="I661" s="13">
        <v>2013</v>
      </c>
      <c r="J661" s="16" t="s">
        <v>12</v>
      </c>
      <c r="K661" s="16" t="s">
        <v>62</v>
      </c>
      <c r="L661" s="3" t="s">
        <v>47</v>
      </c>
      <c r="M661" s="3" t="s">
        <v>48</v>
      </c>
      <c r="N661" s="3" t="s">
        <v>49</v>
      </c>
    </row>
    <row r="662" spans="1:14" x14ac:dyDescent="0.3">
      <c r="A662" s="36" t="s">
        <v>37</v>
      </c>
      <c r="B662" s="13">
        <v>111</v>
      </c>
      <c r="C662" s="48" t="str">
        <f t="shared" si="22"/>
        <v>P.L. 111-11</v>
      </c>
      <c r="D662" s="3" t="s">
        <v>1268</v>
      </c>
      <c r="E662" s="3" t="s">
        <v>1279</v>
      </c>
      <c r="F662" s="3" t="s">
        <v>1280</v>
      </c>
      <c r="G662" s="49"/>
      <c r="H662" s="46">
        <v>42277</v>
      </c>
      <c r="I662" s="13">
        <v>2015</v>
      </c>
      <c r="J662" s="47">
        <v>59436000</v>
      </c>
      <c r="K662" s="16" t="s">
        <v>62</v>
      </c>
      <c r="L662" s="3" t="s">
        <v>47</v>
      </c>
      <c r="M662" s="3" t="s">
        <v>148</v>
      </c>
      <c r="N662" s="3" t="s">
        <v>43</v>
      </c>
    </row>
    <row r="663" spans="1:14" x14ac:dyDescent="0.3">
      <c r="A663" s="36" t="s">
        <v>37</v>
      </c>
      <c r="B663" s="13">
        <v>111</v>
      </c>
      <c r="C663" s="48" t="str">
        <f t="shared" si="22"/>
        <v>P.L. 111-11</v>
      </c>
      <c r="D663" s="3" t="s">
        <v>1268</v>
      </c>
      <c r="E663" s="3" t="s">
        <v>1281</v>
      </c>
      <c r="F663" s="3" t="s">
        <v>1282</v>
      </c>
      <c r="G663" s="49"/>
      <c r="H663" s="46">
        <v>42277</v>
      </c>
      <c r="I663" s="13">
        <v>2015</v>
      </c>
      <c r="J663" s="47">
        <v>24359000</v>
      </c>
      <c r="K663" s="16" t="s">
        <v>62</v>
      </c>
      <c r="L663" s="3" t="s">
        <v>47</v>
      </c>
      <c r="M663" s="3" t="s">
        <v>148</v>
      </c>
      <c r="N663" s="3" t="s">
        <v>43</v>
      </c>
    </row>
    <row r="664" spans="1:14" x14ac:dyDescent="0.3">
      <c r="A664" s="36" t="s">
        <v>37</v>
      </c>
      <c r="B664" s="13">
        <v>111</v>
      </c>
      <c r="C664" s="48" t="str">
        <f t="shared" si="22"/>
        <v>P.L. 111-11</v>
      </c>
      <c r="D664" s="3" t="s">
        <v>1268</v>
      </c>
      <c r="E664" s="3" t="s">
        <v>1281</v>
      </c>
      <c r="F664" s="3" t="s">
        <v>1283</v>
      </c>
      <c r="G664" s="49"/>
      <c r="H664" s="46">
        <v>42277</v>
      </c>
      <c r="I664" s="13">
        <v>2015</v>
      </c>
      <c r="J664" s="47">
        <v>9744000</v>
      </c>
      <c r="K664" s="16" t="s">
        <v>62</v>
      </c>
      <c r="L664" s="3" t="s">
        <v>47</v>
      </c>
      <c r="M664" s="3" t="s">
        <v>148</v>
      </c>
      <c r="N664" s="3" t="s">
        <v>43</v>
      </c>
    </row>
    <row r="665" spans="1:14" x14ac:dyDescent="0.3">
      <c r="A665" s="36" t="s">
        <v>37</v>
      </c>
      <c r="B665" s="13">
        <v>111</v>
      </c>
      <c r="C665" s="48" t="str">
        <f t="shared" si="22"/>
        <v>P.L. 111-11</v>
      </c>
      <c r="D665" s="3" t="s">
        <v>1268</v>
      </c>
      <c r="E665" s="3" t="s">
        <v>1284</v>
      </c>
      <c r="F665" s="3" t="s">
        <v>1285</v>
      </c>
      <c r="G665" s="49"/>
      <c r="H665" s="46">
        <v>42277</v>
      </c>
      <c r="I665" s="13">
        <v>2015</v>
      </c>
      <c r="J665" s="47">
        <v>45000000</v>
      </c>
      <c r="K665" s="16" t="s">
        <v>62</v>
      </c>
      <c r="L665" s="3" t="s">
        <v>47</v>
      </c>
      <c r="M665" s="3" t="s">
        <v>148</v>
      </c>
      <c r="N665" s="3" t="s">
        <v>43</v>
      </c>
    </row>
    <row r="666" spans="1:14" x14ac:dyDescent="0.3">
      <c r="A666" s="36" t="s">
        <v>37</v>
      </c>
      <c r="B666" s="13">
        <v>111</v>
      </c>
      <c r="C666" s="48" t="str">
        <f t="shared" si="22"/>
        <v>P.L. 111-11</v>
      </c>
      <c r="D666" s="3" t="s">
        <v>1268</v>
      </c>
      <c r="E666" s="3" t="s">
        <v>1286</v>
      </c>
      <c r="F666" s="3" t="s">
        <v>1287</v>
      </c>
      <c r="G666" s="49"/>
      <c r="H666" s="46">
        <v>41547</v>
      </c>
      <c r="I666" s="13">
        <v>2013</v>
      </c>
      <c r="J666" s="47">
        <v>60000000</v>
      </c>
      <c r="K666" s="16" t="s">
        <v>62</v>
      </c>
      <c r="L666" s="3" t="s">
        <v>47</v>
      </c>
      <c r="M666" s="3" t="s">
        <v>148</v>
      </c>
      <c r="N666" s="3" t="s">
        <v>43</v>
      </c>
    </row>
    <row r="667" spans="1:14" x14ac:dyDescent="0.3">
      <c r="A667" s="36" t="s">
        <v>37</v>
      </c>
      <c r="B667" s="13">
        <v>111</v>
      </c>
      <c r="C667" s="48" t="str">
        <f t="shared" si="22"/>
        <v>P.L. 111-11</v>
      </c>
      <c r="D667" s="3" t="s">
        <v>1268</v>
      </c>
      <c r="E667" s="3" t="s">
        <v>749</v>
      </c>
      <c r="F667" s="3" t="s">
        <v>1288</v>
      </c>
      <c r="G667" s="49"/>
      <c r="H667" s="46">
        <v>43554</v>
      </c>
      <c r="I667" s="13">
        <v>2019</v>
      </c>
      <c r="J667" s="47">
        <v>3000000</v>
      </c>
      <c r="K667" s="16" t="s">
        <v>62</v>
      </c>
      <c r="L667" s="3" t="s">
        <v>47</v>
      </c>
      <c r="M667" s="3" t="s">
        <v>48</v>
      </c>
      <c r="N667" s="3" t="s">
        <v>58</v>
      </c>
    </row>
    <row r="668" spans="1:14" x14ac:dyDescent="0.3">
      <c r="A668" s="36" t="s">
        <v>37</v>
      </c>
      <c r="B668" s="13">
        <v>111</v>
      </c>
      <c r="C668" s="48" t="str">
        <f t="shared" si="22"/>
        <v>P.L. 111-11</v>
      </c>
      <c r="D668" s="3" t="s">
        <v>1268</v>
      </c>
      <c r="E668" s="3" t="s">
        <v>1289</v>
      </c>
      <c r="F668" s="3" t="s">
        <v>1290</v>
      </c>
      <c r="G668" s="49"/>
      <c r="H668" s="46">
        <v>43554</v>
      </c>
      <c r="I668" s="13">
        <v>2019</v>
      </c>
      <c r="J668" s="47">
        <v>3000000</v>
      </c>
      <c r="K668" s="16" t="s">
        <v>62</v>
      </c>
      <c r="L668" s="3" t="s">
        <v>47</v>
      </c>
      <c r="M668" s="3" t="s">
        <v>48</v>
      </c>
      <c r="N668" s="3" t="s">
        <v>58</v>
      </c>
    </row>
    <row r="669" spans="1:14" x14ac:dyDescent="0.3">
      <c r="A669" s="36" t="s">
        <v>37</v>
      </c>
      <c r="B669" s="13">
        <v>111</v>
      </c>
      <c r="C669" s="48" t="str">
        <f t="shared" si="22"/>
        <v>P.L. 111-11</v>
      </c>
      <c r="D669" s="3" t="s">
        <v>1268</v>
      </c>
      <c r="F669" s="3" t="s">
        <v>1291</v>
      </c>
      <c r="G669" s="49"/>
      <c r="H669" s="46">
        <v>43554</v>
      </c>
      <c r="I669" s="13">
        <v>2019</v>
      </c>
      <c r="J669" s="47">
        <v>4000000</v>
      </c>
      <c r="K669" s="16" t="s">
        <v>62</v>
      </c>
      <c r="L669" s="3" t="s">
        <v>47</v>
      </c>
      <c r="M669" s="3" t="s">
        <v>48</v>
      </c>
      <c r="N669" s="3" t="s">
        <v>58</v>
      </c>
    </row>
    <row r="670" spans="1:14" x14ac:dyDescent="0.3">
      <c r="A670" s="36" t="s">
        <v>37</v>
      </c>
      <c r="B670" s="13">
        <v>111</v>
      </c>
      <c r="C670" s="48" t="str">
        <f t="shared" si="22"/>
        <v>P.L. 111-11</v>
      </c>
      <c r="D670" s="3" t="s">
        <v>1268</v>
      </c>
      <c r="E670" s="3" t="s">
        <v>1292</v>
      </c>
      <c r="F670" s="3" t="s">
        <v>1293</v>
      </c>
      <c r="G670" s="49"/>
      <c r="H670" s="46">
        <v>45199</v>
      </c>
      <c r="I670" s="13">
        <v>2023</v>
      </c>
      <c r="J670" s="47">
        <v>88000000</v>
      </c>
      <c r="K670" s="16" t="s">
        <v>62</v>
      </c>
      <c r="L670" s="3" t="s">
        <v>47</v>
      </c>
      <c r="M670" s="3" t="s">
        <v>48</v>
      </c>
      <c r="N670" s="3" t="s">
        <v>58</v>
      </c>
    </row>
    <row r="671" spans="1:14" x14ac:dyDescent="0.3">
      <c r="A671" s="36" t="s">
        <v>37</v>
      </c>
      <c r="B671" s="13">
        <v>111</v>
      </c>
      <c r="C671" s="48" t="str">
        <f t="shared" si="22"/>
        <v>P.L. 111-11</v>
      </c>
      <c r="D671" s="3" t="s">
        <v>1268</v>
      </c>
      <c r="F671" s="3" t="s">
        <v>1294</v>
      </c>
      <c r="G671" s="49"/>
      <c r="H671" s="46">
        <v>43554</v>
      </c>
      <c r="I671" s="13">
        <v>2019</v>
      </c>
      <c r="J671" s="47">
        <v>60000000</v>
      </c>
      <c r="K671" s="16" t="s">
        <v>62</v>
      </c>
      <c r="L671" s="3" t="s">
        <v>47</v>
      </c>
      <c r="M671" s="3" t="s">
        <v>48</v>
      </c>
      <c r="N671" s="3" t="s">
        <v>58</v>
      </c>
    </row>
    <row r="672" spans="1:14" x14ac:dyDescent="0.3">
      <c r="A672" s="36" t="s">
        <v>37</v>
      </c>
      <c r="B672" s="13">
        <v>111</v>
      </c>
      <c r="C672" s="48" t="str">
        <f t="shared" si="22"/>
        <v>P.L. 111-11</v>
      </c>
      <c r="D672" s="3" t="s">
        <v>1268</v>
      </c>
      <c r="F672" s="3" t="s">
        <v>1295</v>
      </c>
      <c r="G672" s="49"/>
      <c r="H672" s="46">
        <v>43554</v>
      </c>
      <c r="I672" s="13">
        <v>2019</v>
      </c>
      <c r="J672" s="47">
        <v>10000000</v>
      </c>
      <c r="K672" s="16" t="s">
        <v>62</v>
      </c>
      <c r="L672" s="3" t="s">
        <v>47</v>
      </c>
      <c r="M672" s="3" t="s">
        <v>48</v>
      </c>
      <c r="N672" s="3" t="s">
        <v>58</v>
      </c>
    </row>
    <row r="673" spans="1:14" x14ac:dyDescent="0.3">
      <c r="A673" s="36" t="s">
        <v>37</v>
      </c>
      <c r="B673" s="13">
        <v>111</v>
      </c>
      <c r="C673" s="48" t="str">
        <f t="shared" si="22"/>
        <v>P.L. 111-11</v>
      </c>
      <c r="D673" s="3" t="s">
        <v>1268</v>
      </c>
      <c r="E673" s="3" t="s">
        <v>1296</v>
      </c>
      <c r="F673" s="3" t="s">
        <v>1297</v>
      </c>
      <c r="G673" s="49"/>
      <c r="H673" s="46">
        <v>43554</v>
      </c>
      <c r="I673" s="13">
        <v>2019</v>
      </c>
      <c r="J673" s="16" t="s">
        <v>12</v>
      </c>
      <c r="K673" s="16" t="s">
        <v>62</v>
      </c>
      <c r="L673" s="3" t="s">
        <v>47</v>
      </c>
      <c r="M673" s="3" t="s">
        <v>48</v>
      </c>
      <c r="N673" s="3" t="s">
        <v>58</v>
      </c>
    </row>
    <row r="674" spans="1:14" x14ac:dyDescent="0.3">
      <c r="A674" s="36" t="s">
        <v>37</v>
      </c>
      <c r="B674" s="13">
        <v>111</v>
      </c>
      <c r="C674" s="48" t="str">
        <f t="shared" si="22"/>
        <v>P.L. 111-11</v>
      </c>
      <c r="D674" s="3" t="s">
        <v>1268</v>
      </c>
      <c r="F674" s="3" t="s">
        <v>1298</v>
      </c>
      <c r="G674" s="49"/>
      <c r="H674" s="46">
        <v>45199</v>
      </c>
      <c r="I674" s="13">
        <v>2023</v>
      </c>
      <c r="J674" s="16" t="s">
        <v>12</v>
      </c>
      <c r="K674" s="16" t="s">
        <v>62</v>
      </c>
      <c r="L674" s="3" t="s">
        <v>47</v>
      </c>
      <c r="M674" s="3" t="s">
        <v>48</v>
      </c>
      <c r="N674" s="3" t="s">
        <v>58</v>
      </c>
    </row>
    <row r="675" spans="1:14" x14ac:dyDescent="0.3">
      <c r="A675" s="36" t="s">
        <v>37</v>
      </c>
      <c r="B675" s="13">
        <v>111</v>
      </c>
      <c r="C675" s="48" t="str">
        <f t="shared" si="22"/>
        <v>P.L. 111-11</v>
      </c>
      <c r="D675" s="3" t="s">
        <v>1268</v>
      </c>
      <c r="F675" s="3" t="s">
        <v>1299</v>
      </c>
      <c r="G675" s="49"/>
      <c r="H675" s="46">
        <v>45199</v>
      </c>
      <c r="I675" s="13">
        <v>2023</v>
      </c>
      <c r="J675" s="16" t="s">
        <v>12</v>
      </c>
      <c r="K675" s="16" t="s">
        <v>62</v>
      </c>
      <c r="L675" s="3" t="s">
        <v>47</v>
      </c>
      <c r="M675" s="3" t="s">
        <v>48</v>
      </c>
      <c r="N675" s="3" t="s">
        <v>58</v>
      </c>
    </row>
    <row r="676" spans="1:14" x14ac:dyDescent="0.3">
      <c r="A676" s="36" t="s">
        <v>37</v>
      </c>
      <c r="B676" s="13">
        <v>111</v>
      </c>
      <c r="C676" s="48" t="str">
        <f t="shared" si="22"/>
        <v>P.L. 111-11</v>
      </c>
      <c r="D676" s="3" t="s">
        <v>1268</v>
      </c>
      <c r="E676" s="3" t="s">
        <v>1300</v>
      </c>
      <c r="F676" s="3" t="s">
        <v>1301</v>
      </c>
      <c r="G676" s="49"/>
      <c r="H676" s="46">
        <v>45199</v>
      </c>
      <c r="I676" s="13">
        <v>2023</v>
      </c>
      <c r="J676" s="16" t="s">
        <v>12</v>
      </c>
      <c r="K676" s="16" t="s">
        <v>62</v>
      </c>
      <c r="L676" s="3" t="s">
        <v>47</v>
      </c>
      <c r="M676" s="3" t="s">
        <v>48</v>
      </c>
      <c r="N676" s="3" t="s">
        <v>58</v>
      </c>
    </row>
    <row r="677" spans="1:14" x14ac:dyDescent="0.3">
      <c r="A677" s="36" t="s">
        <v>37</v>
      </c>
      <c r="B677" s="13">
        <v>111</v>
      </c>
      <c r="C677" s="48" t="str">
        <f t="shared" si="22"/>
        <v>P.L. 111-11</v>
      </c>
      <c r="D677" s="3" t="s">
        <v>1268</v>
      </c>
      <c r="E677" s="3" t="s">
        <v>1302</v>
      </c>
      <c r="F677" s="3" t="s">
        <v>1303</v>
      </c>
      <c r="G677" s="49"/>
      <c r="H677" s="46">
        <v>43738</v>
      </c>
      <c r="I677" s="13">
        <v>2019</v>
      </c>
      <c r="J677" s="47">
        <v>10000000</v>
      </c>
      <c r="K677" s="16" t="s">
        <v>62</v>
      </c>
      <c r="L677" s="3" t="s">
        <v>47</v>
      </c>
      <c r="M677" s="3" t="s">
        <v>48</v>
      </c>
      <c r="N677" s="3" t="s">
        <v>58</v>
      </c>
    </row>
    <row r="678" spans="1:14" x14ac:dyDescent="0.3">
      <c r="A678" s="36" t="s">
        <v>37</v>
      </c>
      <c r="B678" s="13">
        <v>111</v>
      </c>
      <c r="C678" s="48" t="str">
        <f t="shared" si="22"/>
        <v>P.L. 111-11</v>
      </c>
      <c r="D678" s="3" t="s">
        <v>1268</v>
      </c>
      <c r="E678" s="3" t="s">
        <v>1304</v>
      </c>
      <c r="F678" s="3" t="s">
        <v>1305</v>
      </c>
      <c r="G678" s="49"/>
      <c r="H678" s="46">
        <v>45199</v>
      </c>
      <c r="I678" s="13">
        <v>2023</v>
      </c>
      <c r="J678" s="16" t="s">
        <v>12</v>
      </c>
      <c r="K678" s="16" t="s">
        <v>62</v>
      </c>
      <c r="L678" s="3" t="s">
        <v>47</v>
      </c>
      <c r="M678" s="3" t="s">
        <v>48</v>
      </c>
      <c r="N678" s="3" t="s">
        <v>58</v>
      </c>
    </row>
    <row r="679" spans="1:14" x14ac:dyDescent="0.3">
      <c r="A679" s="36" t="s">
        <v>37</v>
      </c>
      <c r="B679" s="13">
        <v>111</v>
      </c>
      <c r="C679" s="48" t="str">
        <f t="shared" si="22"/>
        <v>P.L. 111-11</v>
      </c>
      <c r="D679" s="3" t="s">
        <v>1268</v>
      </c>
      <c r="E679" s="3" t="s">
        <v>1306</v>
      </c>
      <c r="F679" s="3" t="s">
        <v>1307</v>
      </c>
      <c r="G679" s="49"/>
      <c r="H679" s="46">
        <v>40816</v>
      </c>
      <c r="I679" s="13">
        <v>2011</v>
      </c>
      <c r="J679" s="47">
        <v>3000000</v>
      </c>
      <c r="K679" s="16" t="s">
        <v>62</v>
      </c>
      <c r="L679" s="3" t="s">
        <v>47</v>
      </c>
      <c r="M679" s="3" t="s">
        <v>48</v>
      </c>
      <c r="N679" s="3" t="s">
        <v>58</v>
      </c>
    </row>
    <row r="680" spans="1:14" x14ac:dyDescent="0.3">
      <c r="A680" s="36" t="s">
        <v>37</v>
      </c>
      <c r="B680" s="13">
        <v>111</v>
      </c>
      <c r="C680" s="48" t="str">
        <f t="shared" si="22"/>
        <v>P.L. 111-11</v>
      </c>
      <c r="D680" s="3" t="s">
        <v>1268</v>
      </c>
      <c r="E680" s="3" t="s">
        <v>1308</v>
      </c>
      <c r="F680" s="3" t="s">
        <v>1309</v>
      </c>
      <c r="G680" s="49"/>
      <c r="H680" s="46">
        <v>43738</v>
      </c>
      <c r="I680" s="13">
        <v>2019</v>
      </c>
      <c r="J680" s="47">
        <v>5000000</v>
      </c>
      <c r="K680" s="16" t="s">
        <v>62</v>
      </c>
      <c r="L680" s="3" t="s">
        <v>47</v>
      </c>
      <c r="M680" s="3" t="s">
        <v>48</v>
      </c>
      <c r="N680" s="3" t="s">
        <v>58</v>
      </c>
    </row>
    <row r="681" spans="1:14" x14ac:dyDescent="0.3">
      <c r="A681" s="36" t="s">
        <v>37</v>
      </c>
      <c r="B681" s="13">
        <v>111</v>
      </c>
      <c r="C681" s="48" t="str">
        <f t="shared" si="22"/>
        <v>P.L. 111-11</v>
      </c>
      <c r="D681" s="3" t="s">
        <v>1268</v>
      </c>
      <c r="F681" s="3" t="s">
        <v>1310</v>
      </c>
      <c r="G681" s="49"/>
      <c r="H681" s="46">
        <v>45199</v>
      </c>
      <c r="I681" s="13">
        <v>2023</v>
      </c>
      <c r="J681" s="47">
        <v>20000000</v>
      </c>
      <c r="K681" s="16" t="s">
        <v>62</v>
      </c>
      <c r="L681" s="3" t="s">
        <v>47</v>
      </c>
      <c r="M681" s="3" t="s">
        <v>48</v>
      </c>
      <c r="N681" s="3" t="s">
        <v>58</v>
      </c>
    </row>
    <row r="682" spans="1:14" x14ac:dyDescent="0.3">
      <c r="A682" s="36" t="s">
        <v>37</v>
      </c>
      <c r="B682" s="13">
        <v>111</v>
      </c>
      <c r="C682" s="48" t="str">
        <f t="shared" si="22"/>
        <v>P.L. 111-11</v>
      </c>
      <c r="D682" s="3" t="s">
        <v>1268</v>
      </c>
      <c r="E682" s="3" t="s">
        <v>1311</v>
      </c>
      <c r="F682" s="3" t="s">
        <v>1312</v>
      </c>
      <c r="G682" s="49"/>
      <c r="H682" s="46">
        <v>41547</v>
      </c>
      <c r="I682" s="13">
        <v>2013</v>
      </c>
      <c r="J682" s="47">
        <v>12500000</v>
      </c>
      <c r="K682" s="16" t="s">
        <v>62</v>
      </c>
      <c r="L682" s="3" t="s">
        <v>47</v>
      </c>
      <c r="M682" s="3" t="s">
        <v>48</v>
      </c>
      <c r="N682" s="3" t="s">
        <v>58</v>
      </c>
    </row>
    <row r="683" spans="1:14" x14ac:dyDescent="0.3">
      <c r="A683" s="36" t="s">
        <v>37</v>
      </c>
      <c r="B683" s="13">
        <v>111</v>
      </c>
      <c r="C683" s="48" t="str">
        <f t="shared" si="22"/>
        <v>P.L. 111-11</v>
      </c>
      <c r="D683" s="3" t="s">
        <v>1268</v>
      </c>
      <c r="E683" s="3" t="s">
        <v>1313</v>
      </c>
      <c r="F683" s="3" t="s">
        <v>1314</v>
      </c>
      <c r="G683" s="49"/>
      <c r="H683" s="46">
        <v>45565</v>
      </c>
      <c r="I683" s="13">
        <v>2024</v>
      </c>
      <c r="J683" s="47">
        <v>870000000</v>
      </c>
      <c r="K683" s="16" t="s">
        <v>62</v>
      </c>
      <c r="L683" s="3" t="s">
        <v>47</v>
      </c>
      <c r="M683" s="3" t="s">
        <v>48</v>
      </c>
      <c r="N683" s="3" t="s">
        <v>58</v>
      </c>
    </row>
    <row r="684" spans="1:14" x14ac:dyDescent="0.3">
      <c r="A684" s="36" t="s">
        <v>37</v>
      </c>
      <c r="B684" s="13">
        <v>111</v>
      </c>
      <c r="C684" s="48" t="str">
        <f t="shared" si="22"/>
        <v>P.L. 111-11</v>
      </c>
      <c r="D684" s="3" t="s">
        <v>1268</v>
      </c>
      <c r="E684" s="3" t="s">
        <v>1315</v>
      </c>
      <c r="F684" s="3" t="s">
        <v>1316</v>
      </c>
      <c r="G684" s="49"/>
      <c r="H684" s="46">
        <v>43738</v>
      </c>
      <c r="I684" s="13">
        <v>2019</v>
      </c>
      <c r="J684" s="47">
        <v>30000000</v>
      </c>
      <c r="K684" s="16" t="s">
        <v>62</v>
      </c>
      <c r="L684" s="3" t="s">
        <v>47</v>
      </c>
      <c r="M684" s="3" t="s">
        <v>48</v>
      </c>
      <c r="N684" s="3" t="s">
        <v>58</v>
      </c>
    </row>
    <row r="685" spans="1:14" x14ac:dyDescent="0.3">
      <c r="A685" s="36" t="s">
        <v>37</v>
      </c>
      <c r="B685" s="13">
        <v>111</v>
      </c>
      <c r="C685" s="48" t="str">
        <f t="shared" si="22"/>
        <v>P.L. 111-11</v>
      </c>
      <c r="D685" s="3" t="s">
        <v>1268</v>
      </c>
      <c r="E685" s="3" t="s">
        <v>1317</v>
      </c>
      <c r="F685" s="3" t="s">
        <v>1318</v>
      </c>
      <c r="G685" s="49"/>
      <c r="H685" s="46">
        <v>45565</v>
      </c>
      <c r="I685" s="13">
        <v>2024</v>
      </c>
      <c r="J685" s="16" t="s">
        <v>12</v>
      </c>
      <c r="K685" s="16" t="s">
        <v>62</v>
      </c>
      <c r="L685" s="3" t="s">
        <v>47</v>
      </c>
      <c r="M685" s="3" t="s">
        <v>48</v>
      </c>
      <c r="N685" s="3" t="s">
        <v>58</v>
      </c>
    </row>
    <row r="686" spans="1:14" x14ac:dyDescent="0.3">
      <c r="A686" s="36" t="s">
        <v>37</v>
      </c>
      <c r="B686" s="13">
        <v>111</v>
      </c>
      <c r="C686" s="48" t="str">
        <f t="shared" si="22"/>
        <v>P.L. 111-11</v>
      </c>
      <c r="D686" s="3" t="s">
        <v>1268</v>
      </c>
      <c r="E686" s="3" t="s">
        <v>1319</v>
      </c>
      <c r="F686" s="3" t="s">
        <v>1320</v>
      </c>
      <c r="G686" s="49"/>
      <c r="H686" s="46">
        <v>42643</v>
      </c>
      <c r="I686" s="13">
        <v>2016</v>
      </c>
      <c r="J686" s="47">
        <v>7700000</v>
      </c>
      <c r="K686" s="16" t="s">
        <v>62</v>
      </c>
      <c r="L686" s="3" t="s">
        <v>47</v>
      </c>
      <c r="M686" s="3" t="s">
        <v>48</v>
      </c>
      <c r="N686" s="3" t="s">
        <v>58</v>
      </c>
    </row>
    <row r="687" spans="1:14" x14ac:dyDescent="0.3">
      <c r="A687" s="36" t="s">
        <v>37</v>
      </c>
      <c r="B687" s="13">
        <v>111</v>
      </c>
      <c r="C687" s="48" t="str">
        <f t="shared" si="22"/>
        <v>P.L. 111-11</v>
      </c>
      <c r="D687" s="3" t="s">
        <v>1268</v>
      </c>
      <c r="E687" s="3" t="s">
        <v>1321</v>
      </c>
      <c r="F687" s="3" t="s">
        <v>1322</v>
      </c>
      <c r="G687" s="49"/>
      <c r="H687" s="46">
        <v>43738</v>
      </c>
      <c r="I687" s="13">
        <v>2019</v>
      </c>
      <c r="J687" s="47">
        <v>15400000</v>
      </c>
      <c r="K687" s="16" t="s">
        <v>62</v>
      </c>
      <c r="L687" s="3" t="s">
        <v>47</v>
      </c>
      <c r="M687" s="3" t="s">
        <v>48</v>
      </c>
      <c r="N687" s="3" t="s">
        <v>58</v>
      </c>
    </row>
    <row r="688" spans="1:14" x14ac:dyDescent="0.3">
      <c r="A688" s="36" t="s">
        <v>37</v>
      </c>
      <c r="B688" s="13">
        <v>111</v>
      </c>
      <c r="C688" s="48" t="str">
        <f t="shared" si="22"/>
        <v>P.L. 111-11</v>
      </c>
      <c r="D688" s="3" t="s">
        <v>1268</v>
      </c>
      <c r="E688" s="3" t="s">
        <v>1323</v>
      </c>
      <c r="F688" s="3" t="s">
        <v>1324</v>
      </c>
      <c r="G688" s="49"/>
      <c r="H688" s="46">
        <v>43738</v>
      </c>
      <c r="I688" s="13">
        <v>2019</v>
      </c>
      <c r="J688" s="47">
        <v>11000000</v>
      </c>
      <c r="K688" s="16" t="s">
        <v>62</v>
      </c>
      <c r="L688" s="3" t="s">
        <v>47</v>
      </c>
      <c r="M688" s="3" t="s">
        <v>48</v>
      </c>
      <c r="N688" s="3" t="s">
        <v>58</v>
      </c>
    </row>
    <row r="689" spans="1:14" x14ac:dyDescent="0.3">
      <c r="A689" s="36" t="s">
        <v>37</v>
      </c>
      <c r="B689" s="13">
        <v>111</v>
      </c>
      <c r="C689" s="48" t="str">
        <f t="shared" si="22"/>
        <v>P.L. 111-11</v>
      </c>
      <c r="D689" s="3" t="s">
        <v>1268</v>
      </c>
      <c r="E689" s="3" t="s">
        <v>1325</v>
      </c>
      <c r="F689" s="3" t="s">
        <v>1326</v>
      </c>
      <c r="G689" s="49"/>
      <c r="H689" s="46">
        <v>43738</v>
      </c>
      <c r="I689" s="13">
        <v>2019</v>
      </c>
      <c r="J689" s="47">
        <v>4000000</v>
      </c>
      <c r="K689" s="16" t="s">
        <v>62</v>
      </c>
      <c r="L689" s="3" t="s">
        <v>47</v>
      </c>
      <c r="M689" s="3" t="s">
        <v>236</v>
      </c>
      <c r="N689" s="3" t="s">
        <v>58</v>
      </c>
    </row>
    <row r="690" spans="1:14" x14ac:dyDescent="0.3">
      <c r="A690" s="36" t="s">
        <v>37</v>
      </c>
      <c r="B690" s="13">
        <v>111</v>
      </c>
      <c r="C690" s="48" t="str">
        <f t="shared" si="22"/>
        <v>P.L. 111-11</v>
      </c>
      <c r="D690" s="3" t="s">
        <v>1268</v>
      </c>
      <c r="E690" s="3" t="s">
        <v>1327</v>
      </c>
      <c r="F690" s="3" t="s">
        <v>1328</v>
      </c>
      <c r="G690" s="49"/>
      <c r="H690" s="46">
        <v>41912</v>
      </c>
      <c r="I690" s="13">
        <v>2014</v>
      </c>
      <c r="J690" s="47">
        <v>9000000</v>
      </c>
      <c r="K690" s="16" t="s">
        <v>62</v>
      </c>
      <c r="L690" s="3" t="s">
        <v>47</v>
      </c>
      <c r="M690" s="3" t="s">
        <v>236</v>
      </c>
      <c r="N690" s="3" t="s">
        <v>58</v>
      </c>
    </row>
    <row r="691" spans="1:14" x14ac:dyDescent="0.3">
      <c r="A691" s="36" t="s">
        <v>37</v>
      </c>
      <c r="B691" s="13">
        <v>111</v>
      </c>
      <c r="C691" s="48" t="str">
        <f t="shared" si="22"/>
        <v>P.L. 111-11</v>
      </c>
      <c r="D691" s="3" t="s">
        <v>1268</v>
      </c>
      <c r="E691" s="3" t="s">
        <v>1329</v>
      </c>
      <c r="F691" s="3" t="s">
        <v>1330</v>
      </c>
      <c r="G691" s="49"/>
      <c r="H691" s="46">
        <v>41912</v>
      </c>
      <c r="I691" s="13">
        <v>2014</v>
      </c>
      <c r="J691" s="47">
        <v>3000000</v>
      </c>
      <c r="K691" s="16" t="s">
        <v>62</v>
      </c>
      <c r="L691" s="3" t="s">
        <v>47</v>
      </c>
      <c r="M691" s="3" t="s">
        <v>236</v>
      </c>
      <c r="N691" s="3" t="s">
        <v>58</v>
      </c>
    </row>
    <row r="692" spans="1:14" x14ac:dyDescent="0.3">
      <c r="A692" s="36" t="s">
        <v>37</v>
      </c>
      <c r="B692" s="13">
        <v>110</v>
      </c>
      <c r="C692" s="48" t="str">
        <f>HYPERLINK("https://uscode.house.gov/statutes/pl/110/315.pdf", "P.L. 110-315")</f>
        <v>P.L. 110-315</v>
      </c>
      <c r="D692" s="3" t="s">
        <v>1139</v>
      </c>
      <c r="E692" s="3" t="s">
        <v>1215</v>
      </c>
      <c r="F692" s="3" t="s">
        <v>1216</v>
      </c>
      <c r="G692" s="48" t="str">
        <f>HYPERLINK("https://uscode.house.gov/view.xhtml?req=granuleid:USC-prelim-title42-section2756b&amp;num=0&amp;edition=prelim", "42 U.S.C. 2756b(f)")</f>
        <v>42 U.S.C. 2756b(f)</v>
      </c>
      <c r="H692" s="46">
        <v>41912</v>
      </c>
      <c r="I692" s="13">
        <v>2014</v>
      </c>
      <c r="J692" s="16" t="s">
        <v>12</v>
      </c>
      <c r="K692" s="47">
        <v>11053000</v>
      </c>
      <c r="L692" s="3" t="s">
        <v>130</v>
      </c>
      <c r="M692" s="3" t="s">
        <v>71</v>
      </c>
      <c r="N692" s="3" t="s">
        <v>72</v>
      </c>
    </row>
    <row r="693" spans="1:14" x14ac:dyDescent="0.3">
      <c r="A693" s="36" t="s">
        <v>37</v>
      </c>
      <c r="B693" s="13">
        <v>110</v>
      </c>
      <c r="C693" s="48" t="str">
        <f>HYPERLINK("https://uscode.house.gov/statutes/pl/110/315.pdf", "P.L. 110-315")</f>
        <v>P.L. 110-315</v>
      </c>
      <c r="D693" s="3" t="s">
        <v>1139</v>
      </c>
      <c r="E693" s="3" t="s">
        <v>1015</v>
      </c>
      <c r="F693" s="3" t="s">
        <v>1217</v>
      </c>
      <c r="G693" s="48" t="str">
        <f>HYPERLINK("https://uscode.house.gov/view.xhtml?req=granuleid:USC-prelim-title20-section1087h&amp;num=0&amp;edition=prelim", "20 U.S.C. 1087h(a)")</f>
        <v>20 U.S.C. 1087h(a)</v>
      </c>
      <c r="H693" s="46">
        <v>41912</v>
      </c>
      <c r="I693" s="13">
        <v>2014</v>
      </c>
      <c r="J693" s="16" t="s">
        <v>12</v>
      </c>
      <c r="K693" s="47">
        <v>2033943000</v>
      </c>
      <c r="L693" s="3" t="s">
        <v>130</v>
      </c>
      <c r="M693" s="3" t="s">
        <v>71</v>
      </c>
      <c r="N693" s="3" t="s">
        <v>72</v>
      </c>
    </row>
    <row r="694" spans="1:14" x14ac:dyDescent="0.3">
      <c r="A694" s="36" t="s">
        <v>37</v>
      </c>
      <c r="B694" s="13">
        <v>111</v>
      </c>
      <c r="C694" s="48" t="str">
        <f t="shared" ref="C694:C703" si="23">HYPERLINK("https://uscode.house.gov/statutes/pl/111/13.pdf", "P.L. 111-13")</f>
        <v>P.L. 111-13</v>
      </c>
      <c r="D694" s="3" t="s">
        <v>1331</v>
      </c>
      <c r="E694" s="3" t="s">
        <v>1332</v>
      </c>
      <c r="F694" s="3" t="s">
        <v>1333</v>
      </c>
      <c r="G694" s="48" t="str">
        <f>HYPERLINK("https://uscode.house.gov/view.xhtml?req=granuleid:USC-prelim-title42-section12681&amp;num=0&amp;edition=prelim", "42 U.S.C. 12681(a)(1)")</f>
        <v>42 U.S.C. 12681(a)(1)</v>
      </c>
      <c r="H694" s="46">
        <v>41912</v>
      </c>
      <c r="I694" s="13">
        <v>2014</v>
      </c>
      <c r="J694" s="16" t="s">
        <v>12</v>
      </c>
      <c r="K694" s="16" t="s">
        <v>62</v>
      </c>
      <c r="L694" s="3" t="s">
        <v>130</v>
      </c>
      <c r="M694" s="3" t="s">
        <v>71</v>
      </c>
      <c r="N694" s="3" t="s">
        <v>72</v>
      </c>
    </row>
    <row r="695" spans="1:14" x14ac:dyDescent="0.3">
      <c r="A695" s="36" t="s">
        <v>37</v>
      </c>
      <c r="B695" s="13">
        <v>111</v>
      </c>
      <c r="C695" s="48" t="str">
        <f t="shared" si="23"/>
        <v>P.L. 111-13</v>
      </c>
      <c r="D695" s="3" t="s">
        <v>1331</v>
      </c>
      <c r="E695" s="3" t="s">
        <v>1332</v>
      </c>
      <c r="F695" s="3" t="s">
        <v>1334</v>
      </c>
      <c r="G695" s="48" t="str">
        <f>HYPERLINK("https://uscode.house.gov/view.xhtml?req=granuleid:USC-prelim-title42-section12681&amp;num=0&amp;edition=prelim", "42 U.S.C. 12681(a)(2)")</f>
        <v>42 U.S.C. 12681(a)(2)</v>
      </c>
      <c r="H695" s="46">
        <v>41912</v>
      </c>
      <c r="I695" s="13">
        <v>2014</v>
      </c>
      <c r="J695" s="16" t="s">
        <v>12</v>
      </c>
      <c r="K695" s="47">
        <v>230000000</v>
      </c>
      <c r="L695" s="3" t="s">
        <v>130</v>
      </c>
      <c r="M695" s="3" t="s">
        <v>71</v>
      </c>
      <c r="N695" s="3" t="s">
        <v>72</v>
      </c>
    </row>
    <row r="696" spans="1:14" x14ac:dyDescent="0.3">
      <c r="A696" s="36" t="s">
        <v>37</v>
      </c>
      <c r="B696" s="13">
        <v>111</v>
      </c>
      <c r="C696" s="48" t="str">
        <f t="shared" si="23"/>
        <v>P.L. 111-13</v>
      </c>
      <c r="D696" s="3" t="s">
        <v>1331</v>
      </c>
      <c r="E696" s="3" t="s">
        <v>1332</v>
      </c>
      <c r="F696" s="3" t="s">
        <v>1335</v>
      </c>
      <c r="G696" s="48" t="str">
        <f>HYPERLINK("https://uscode.house.gov/view.xhtml?req=granuleid:USC-prelim-title42-section12681&amp;num=0&amp;edition=prelim", "42 U.S.C. 12681(3)(3)")</f>
        <v>42 U.S.C. 12681(3)(3)</v>
      </c>
      <c r="H696" s="46">
        <v>41912</v>
      </c>
      <c r="I696" s="13">
        <v>2014</v>
      </c>
      <c r="J696" s="16" t="s">
        <v>12</v>
      </c>
      <c r="K696" s="47">
        <v>37735000</v>
      </c>
      <c r="L696" s="3" t="s">
        <v>130</v>
      </c>
      <c r="M696" s="3" t="s">
        <v>71</v>
      </c>
      <c r="N696" s="3" t="s">
        <v>72</v>
      </c>
    </row>
    <row r="697" spans="1:14" x14ac:dyDescent="0.3">
      <c r="A697" s="36" t="s">
        <v>37</v>
      </c>
      <c r="B697" s="13">
        <v>111</v>
      </c>
      <c r="C697" s="48" t="str">
        <f t="shared" si="23"/>
        <v>P.L. 111-13</v>
      </c>
      <c r="D697" s="3" t="s">
        <v>1331</v>
      </c>
      <c r="E697" s="3" t="s">
        <v>1332</v>
      </c>
      <c r="F697" s="3" t="s">
        <v>1336</v>
      </c>
      <c r="G697" s="48" t="str">
        <f>HYPERLINK("https://uscode.house.gov/view.xhtml?req=granuleid:USC-prelim-title42-section12681&amp;num=0&amp;edition=prelim", "42 U.S.C. 12681(a)(4)")</f>
        <v>42 U.S.C. 12681(a)(4)</v>
      </c>
      <c r="H697" s="46">
        <v>41912</v>
      </c>
      <c r="I697" s="13">
        <v>2014</v>
      </c>
      <c r="J697" s="16" t="s">
        <v>12</v>
      </c>
      <c r="K697" s="47">
        <v>14706000</v>
      </c>
      <c r="L697" s="3" t="s">
        <v>130</v>
      </c>
      <c r="M697" s="3" t="s">
        <v>71</v>
      </c>
      <c r="N697" s="3" t="s">
        <v>72</v>
      </c>
    </row>
    <row r="698" spans="1:14" x14ac:dyDescent="0.3">
      <c r="A698" s="36" t="s">
        <v>37</v>
      </c>
      <c r="B698" s="13">
        <v>111</v>
      </c>
      <c r="C698" s="48" t="str">
        <f t="shared" si="23"/>
        <v>P.L. 111-13</v>
      </c>
      <c r="D698" s="3" t="s">
        <v>1331</v>
      </c>
      <c r="E698" s="3" t="s">
        <v>1332</v>
      </c>
      <c r="F698" s="3" t="s">
        <v>1337</v>
      </c>
      <c r="G698" s="48" t="str">
        <f>HYPERLINK("https://uscode.house.gov/view.xhtml?req=granuleid:USC-prelim-title42-section12681&amp;num=0&amp;edition=prelim", "42 U.S.C. 12681(a)(5)")</f>
        <v>42 U.S.C. 12681(a)(5)</v>
      </c>
      <c r="H698" s="46">
        <v>41912</v>
      </c>
      <c r="I698" s="13">
        <v>2014</v>
      </c>
      <c r="J698" s="16" t="s">
        <v>12</v>
      </c>
      <c r="K698" s="47">
        <v>99686000</v>
      </c>
      <c r="L698" s="3" t="s">
        <v>130</v>
      </c>
      <c r="M698" s="3" t="s">
        <v>71</v>
      </c>
      <c r="N698" s="3" t="s">
        <v>72</v>
      </c>
    </row>
    <row r="699" spans="1:14" x14ac:dyDescent="0.3">
      <c r="A699" s="36" t="s">
        <v>37</v>
      </c>
      <c r="B699" s="13">
        <v>111</v>
      </c>
      <c r="C699" s="48" t="str">
        <f t="shared" si="23"/>
        <v>P.L. 111-13</v>
      </c>
      <c r="D699" s="3" t="s">
        <v>1331</v>
      </c>
      <c r="E699" s="3" t="s">
        <v>1338</v>
      </c>
      <c r="F699" s="3" t="s">
        <v>1339</v>
      </c>
      <c r="G699" s="48" t="str">
        <f>HYPERLINK("https://uscode.house.gov/view.xhtml?req=granuleid:USC-prelim-title42-section5081&amp;num=0&amp;edition=prelim", "42 U.S.C. 5081(a)(1)")</f>
        <v>42 U.S.C. 5081(a)(1)</v>
      </c>
      <c r="H699" s="46">
        <v>41912</v>
      </c>
      <c r="I699" s="13">
        <v>2014</v>
      </c>
      <c r="J699" s="16" t="s">
        <v>12</v>
      </c>
      <c r="K699" s="47">
        <v>103285000</v>
      </c>
      <c r="L699" s="3" t="s">
        <v>130</v>
      </c>
      <c r="M699" s="3" t="s">
        <v>71</v>
      </c>
      <c r="N699" s="3" t="s">
        <v>72</v>
      </c>
    </row>
    <row r="700" spans="1:14" x14ac:dyDescent="0.3">
      <c r="A700" s="36" t="s">
        <v>37</v>
      </c>
      <c r="B700" s="13">
        <v>111</v>
      </c>
      <c r="C700" s="48" t="str">
        <f t="shared" si="23"/>
        <v>P.L. 111-13</v>
      </c>
      <c r="D700" s="3" t="s">
        <v>1331</v>
      </c>
      <c r="E700" s="3" t="s">
        <v>1338</v>
      </c>
      <c r="F700" s="3" t="s">
        <v>1340</v>
      </c>
      <c r="G700" s="48" t="str">
        <f>HYPERLINK("https://uscode.house.gov/view.xhtml?req=granuleid:USC-prelim-title42-section5081&amp;num=0&amp;edition=prelim", "42 U.S.C. 5081(a)(2)")</f>
        <v>42 U.S.C. 5081(a)(2)</v>
      </c>
      <c r="H700" s="46">
        <v>41912</v>
      </c>
      <c r="I700" s="13">
        <v>2014</v>
      </c>
      <c r="J700" s="16" t="s">
        <v>12</v>
      </c>
      <c r="K700" s="16" t="s">
        <v>62</v>
      </c>
      <c r="L700" s="3" t="s">
        <v>130</v>
      </c>
      <c r="M700" s="3" t="s">
        <v>71</v>
      </c>
      <c r="N700" s="3" t="s">
        <v>72</v>
      </c>
    </row>
    <row r="701" spans="1:14" x14ac:dyDescent="0.3">
      <c r="A701" s="36" t="s">
        <v>37</v>
      </c>
      <c r="B701" s="13">
        <v>111</v>
      </c>
      <c r="C701" s="48" t="str">
        <f t="shared" si="23"/>
        <v>P.L. 111-13</v>
      </c>
      <c r="D701" s="3" t="s">
        <v>1331</v>
      </c>
      <c r="E701" s="3" t="s">
        <v>1341</v>
      </c>
      <c r="F701" s="3" t="s">
        <v>1342</v>
      </c>
      <c r="G701" s="48" t="str">
        <f>HYPERLINK("https://uscode.house.gov/view.xhtml?req=granuleid:USC-prelim-title42-section5082&amp;num=0&amp;edition=prelim", "42 U.S.C. 5082(a)")</f>
        <v>42 U.S.C. 5082(a)</v>
      </c>
      <c r="H701" s="46">
        <v>41912</v>
      </c>
      <c r="I701" s="13">
        <v>2014</v>
      </c>
      <c r="J701" s="16" t="s">
        <v>12</v>
      </c>
      <c r="K701" s="47">
        <v>55105000</v>
      </c>
      <c r="L701" s="3" t="s">
        <v>130</v>
      </c>
      <c r="M701" s="3" t="s">
        <v>71</v>
      </c>
      <c r="N701" s="3" t="s">
        <v>72</v>
      </c>
    </row>
    <row r="702" spans="1:14" x14ac:dyDescent="0.3">
      <c r="A702" s="36" t="s">
        <v>37</v>
      </c>
      <c r="B702" s="13">
        <v>111</v>
      </c>
      <c r="C702" s="48" t="str">
        <f t="shared" si="23"/>
        <v>P.L. 111-13</v>
      </c>
      <c r="D702" s="3" t="s">
        <v>1331</v>
      </c>
      <c r="E702" s="3" t="s">
        <v>1341</v>
      </c>
      <c r="F702" s="3" t="s">
        <v>1343</v>
      </c>
      <c r="G702" s="48" t="str">
        <f>HYPERLINK("https://uscode.house.gov/view.xhtml?req=granuleid:USC-prelim-title42-section5082&amp;num=0&amp;edition=prelim", "42 U.S.C. 5082(b)")</f>
        <v>42 U.S.C. 5082(b)</v>
      </c>
      <c r="H702" s="46">
        <v>41912</v>
      </c>
      <c r="I702" s="13">
        <v>2014</v>
      </c>
      <c r="J702" s="16" t="s">
        <v>12</v>
      </c>
      <c r="K702" s="47">
        <v>125363000</v>
      </c>
      <c r="L702" s="3" t="s">
        <v>130</v>
      </c>
      <c r="M702" s="3" t="s">
        <v>71</v>
      </c>
      <c r="N702" s="3" t="s">
        <v>72</v>
      </c>
    </row>
    <row r="703" spans="1:14" x14ac:dyDescent="0.3">
      <c r="A703" s="36" t="s">
        <v>37</v>
      </c>
      <c r="B703" s="13">
        <v>111</v>
      </c>
      <c r="C703" s="48" t="str">
        <f t="shared" si="23"/>
        <v>P.L. 111-13</v>
      </c>
      <c r="D703" s="3" t="s">
        <v>1331</v>
      </c>
      <c r="E703" s="3" t="s">
        <v>1341</v>
      </c>
      <c r="F703" s="3" t="s">
        <v>1344</v>
      </c>
      <c r="G703" s="48" t="str">
        <f>HYPERLINK("https://uscode.house.gov/view.xhtml?req=granuleid:USC-prelim-title42-section5082&amp;num=0&amp;edition=prelim", "42 U.S.C. 5082(c)")</f>
        <v>42 U.S.C. 5082(c)</v>
      </c>
      <c r="H703" s="46">
        <v>41912</v>
      </c>
      <c r="I703" s="13">
        <v>2014</v>
      </c>
      <c r="J703" s="16" t="s">
        <v>12</v>
      </c>
      <c r="K703" s="47">
        <v>56449000</v>
      </c>
      <c r="L703" s="3" t="s">
        <v>130</v>
      </c>
      <c r="M703" s="3" t="s">
        <v>71</v>
      </c>
      <c r="N703" s="3" t="s">
        <v>72</v>
      </c>
    </row>
    <row r="704" spans="1:14" x14ac:dyDescent="0.3">
      <c r="A704" s="36" t="s">
        <v>37</v>
      </c>
      <c r="B704" s="13">
        <v>111</v>
      </c>
      <c r="C704" s="48" t="str">
        <f t="shared" ref="C704:C709" si="24">HYPERLINK("https://uscode.house.gov/statutes/pl/111/21.pdf", "P.L. 111-21")</f>
        <v>P.L. 111-21</v>
      </c>
      <c r="D704" s="3" t="s">
        <v>1348</v>
      </c>
      <c r="E704" s="3" t="s">
        <v>296</v>
      </c>
      <c r="F704" s="3" t="s">
        <v>1349</v>
      </c>
      <c r="G704" s="49"/>
      <c r="H704" s="46">
        <v>40816</v>
      </c>
      <c r="I704" s="13">
        <v>2011</v>
      </c>
      <c r="J704" s="47">
        <v>65000000</v>
      </c>
      <c r="K704" s="16" t="s">
        <v>62</v>
      </c>
      <c r="L704" s="3" t="s">
        <v>41</v>
      </c>
      <c r="M704" s="3" t="s">
        <v>42</v>
      </c>
      <c r="N704" s="3" t="s">
        <v>43</v>
      </c>
    </row>
    <row r="705" spans="1:14" x14ac:dyDescent="0.3">
      <c r="A705" s="36" t="s">
        <v>37</v>
      </c>
      <c r="B705" s="13">
        <v>111</v>
      </c>
      <c r="C705" s="48" t="str">
        <f t="shared" si="24"/>
        <v>P.L. 111-21</v>
      </c>
      <c r="D705" s="3" t="s">
        <v>1348</v>
      </c>
      <c r="E705" s="3" t="s">
        <v>296</v>
      </c>
      <c r="F705" s="3" t="s">
        <v>1350</v>
      </c>
      <c r="G705" s="49"/>
      <c r="H705" s="46">
        <v>40816</v>
      </c>
      <c r="I705" s="13">
        <v>2011</v>
      </c>
      <c r="J705" s="47">
        <v>50000000</v>
      </c>
      <c r="K705" s="16" t="s">
        <v>62</v>
      </c>
      <c r="L705" s="3" t="s">
        <v>41</v>
      </c>
      <c r="M705" s="3" t="s">
        <v>42</v>
      </c>
      <c r="N705" s="3" t="s">
        <v>43</v>
      </c>
    </row>
    <row r="706" spans="1:14" x14ac:dyDescent="0.3">
      <c r="A706" s="36" t="s">
        <v>37</v>
      </c>
      <c r="B706" s="13">
        <v>111</v>
      </c>
      <c r="C706" s="48" t="str">
        <f t="shared" si="24"/>
        <v>P.L. 111-21</v>
      </c>
      <c r="D706" s="3" t="s">
        <v>1348</v>
      </c>
      <c r="E706" s="3" t="s">
        <v>296</v>
      </c>
      <c r="F706" s="3" t="s">
        <v>1351</v>
      </c>
      <c r="G706" s="49"/>
      <c r="H706" s="46">
        <v>40816</v>
      </c>
      <c r="I706" s="13">
        <v>2011</v>
      </c>
      <c r="J706" s="47">
        <v>40000000</v>
      </c>
      <c r="K706" s="16" t="s">
        <v>62</v>
      </c>
      <c r="L706" s="3" t="s">
        <v>41</v>
      </c>
      <c r="M706" s="3" t="s">
        <v>42</v>
      </c>
      <c r="N706" s="3" t="s">
        <v>43</v>
      </c>
    </row>
    <row r="707" spans="1:14" x14ac:dyDescent="0.3">
      <c r="A707" s="36" t="s">
        <v>37</v>
      </c>
      <c r="B707" s="13">
        <v>111</v>
      </c>
      <c r="C707" s="48" t="str">
        <f t="shared" si="24"/>
        <v>P.L. 111-21</v>
      </c>
      <c r="D707" s="3" t="s">
        <v>1348</v>
      </c>
      <c r="E707" s="3" t="s">
        <v>296</v>
      </c>
      <c r="F707" s="3" t="s">
        <v>1352</v>
      </c>
      <c r="G707" s="49"/>
      <c r="H707" s="46">
        <v>40816</v>
      </c>
      <c r="I707" s="13">
        <v>2011</v>
      </c>
      <c r="J707" s="47">
        <v>30000000</v>
      </c>
      <c r="K707" s="16" t="s">
        <v>62</v>
      </c>
      <c r="L707" s="3" t="s">
        <v>156</v>
      </c>
      <c r="M707" s="3" t="s">
        <v>157</v>
      </c>
      <c r="N707" s="3" t="s">
        <v>158</v>
      </c>
    </row>
    <row r="708" spans="1:14" x14ac:dyDescent="0.3">
      <c r="A708" s="36" t="s">
        <v>37</v>
      </c>
      <c r="B708" s="13">
        <v>111</v>
      </c>
      <c r="C708" s="48" t="str">
        <f t="shared" si="24"/>
        <v>P.L. 111-21</v>
      </c>
      <c r="D708" s="3" t="s">
        <v>1348</v>
      </c>
      <c r="E708" s="3" t="s">
        <v>1353</v>
      </c>
      <c r="F708" s="3" t="s">
        <v>1354</v>
      </c>
      <c r="G708" s="49"/>
      <c r="H708" s="46">
        <v>40816</v>
      </c>
      <c r="I708" s="13">
        <v>2011</v>
      </c>
      <c r="J708" s="47">
        <v>20000000</v>
      </c>
      <c r="K708" s="16" t="s">
        <v>62</v>
      </c>
      <c r="L708" s="3" t="s">
        <v>41</v>
      </c>
      <c r="M708" s="3" t="s">
        <v>230</v>
      </c>
      <c r="N708" s="3" t="s">
        <v>122</v>
      </c>
    </row>
    <row r="709" spans="1:14" x14ac:dyDescent="0.3">
      <c r="A709" s="36" t="s">
        <v>37</v>
      </c>
      <c r="B709" s="13">
        <v>111</v>
      </c>
      <c r="C709" s="48" t="str">
        <f t="shared" si="24"/>
        <v>P.L. 111-21</v>
      </c>
      <c r="D709" s="3" t="s">
        <v>1348</v>
      </c>
      <c r="E709" s="3" t="s">
        <v>296</v>
      </c>
      <c r="F709" s="3" t="s">
        <v>1355</v>
      </c>
      <c r="G709" s="49"/>
      <c r="H709" s="46">
        <v>40816</v>
      </c>
      <c r="I709" s="13">
        <v>2011</v>
      </c>
      <c r="J709" s="47">
        <v>21000000</v>
      </c>
      <c r="K709" s="16" t="s">
        <v>62</v>
      </c>
      <c r="L709" s="3" t="s">
        <v>156</v>
      </c>
      <c r="M709" s="3" t="s">
        <v>418</v>
      </c>
      <c r="N709" s="3" t="s">
        <v>55</v>
      </c>
    </row>
    <row r="710" spans="1:14" x14ac:dyDescent="0.3">
      <c r="A710" s="36" t="s">
        <v>37</v>
      </c>
      <c r="B710" s="13">
        <v>111</v>
      </c>
      <c r="C710" s="48" t="str">
        <f>HYPERLINK("https://uscode.house.gov/statutes/pl/111/22.pdf", "P.L. 111-22")</f>
        <v>P.L. 111-22</v>
      </c>
      <c r="D710" s="3" t="s">
        <v>1356</v>
      </c>
      <c r="E710" s="3" t="s">
        <v>1357</v>
      </c>
      <c r="F710" s="3" t="s">
        <v>1358</v>
      </c>
      <c r="G710" s="49"/>
      <c r="H710" s="46">
        <v>40816</v>
      </c>
      <c r="I710" s="13">
        <v>2011</v>
      </c>
      <c r="J710" s="16" t="s">
        <v>12</v>
      </c>
      <c r="K710" s="16" t="s">
        <v>62</v>
      </c>
      <c r="L710" s="3" t="s">
        <v>156</v>
      </c>
      <c r="M710" s="3" t="s">
        <v>157</v>
      </c>
      <c r="N710" s="3" t="s">
        <v>158</v>
      </c>
    </row>
    <row r="711" spans="1:14" x14ac:dyDescent="0.3">
      <c r="A711" s="36" t="s">
        <v>37</v>
      </c>
      <c r="B711" s="13">
        <v>111</v>
      </c>
      <c r="C711" s="48" t="str">
        <f>HYPERLINK("https://uscode.house.gov/statutes/pl/111/22.pdf", "P.L. 111-22")</f>
        <v>P.L. 111-22</v>
      </c>
      <c r="D711" s="3" t="s">
        <v>1356</v>
      </c>
      <c r="F711" s="3" t="s">
        <v>1359</v>
      </c>
      <c r="G711" s="49"/>
      <c r="H711" s="46">
        <v>40816</v>
      </c>
      <c r="I711" s="13">
        <v>2011</v>
      </c>
      <c r="J711" s="47">
        <v>8000000</v>
      </c>
      <c r="K711" s="16" t="s">
        <v>62</v>
      </c>
      <c r="L711" s="3" t="s">
        <v>156</v>
      </c>
      <c r="M711" s="3" t="s">
        <v>157</v>
      </c>
      <c r="N711" s="3" t="s">
        <v>158</v>
      </c>
    </row>
    <row r="712" spans="1:14" x14ac:dyDescent="0.3">
      <c r="A712" s="36" t="s">
        <v>37</v>
      </c>
      <c r="B712" s="13">
        <v>111</v>
      </c>
      <c r="C712" s="48" t="str">
        <f>HYPERLINK("https://uscode.house.gov/statutes/pl/111/22.pdf", "P.L. 111-22")</f>
        <v>P.L. 111-22</v>
      </c>
      <c r="D712" s="3" t="s">
        <v>1356</v>
      </c>
      <c r="F712" s="3" t="s">
        <v>1360</v>
      </c>
      <c r="G712" s="49"/>
      <c r="H712" s="46">
        <v>40816</v>
      </c>
      <c r="I712" s="13">
        <v>2011</v>
      </c>
      <c r="J712" s="16" t="s">
        <v>12</v>
      </c>
      <c r="K712" s="47">
        <v>3633000000</v>
      </c>
      <c r="L712" s="3" t="s">
        <v>156</v>
      </c>
      <c r="M712" s="3" t="s">
        <v>157</v>
      </c>
      <c r="N712" s="3" t="s">
        <v>158</v>
      </c>
    </row>
    <row r="713" spans="1:14" x14ac:dyDescent="0.3">
      <c r="A713" s="36" t="s">
        <v>37</v>
      </c>
      <c r="B713" s="13">
        <v>111</v>
      </c>
      <c r="C713" s="48" t="str">
        <f>HYPERLINK("https://uscode.house.gov/statutes/pl/111/73.pdf", "P.L. 111-73")</f>
        <v>P.L. 111-73</v>
      </c>
      <c r="D713" s="3" t="s">
        <v>1361</v>
      </c>
      <c r="E713" s="3" t="s">
        <v>1362</v>
      </c>
      <c r="F713" s="3" t="s">
        <v>1363</v>
      </c>
      <c r="G713" s="48" t="str">
        <f>HYPERLINK("https://uscode.house.gov/view.xhtml?req=granuleid:USC-prelim-title22-section8411&amp;num=0&amp;edition=prelim", "22 U.S.C. 8411(c)(1)")</f>
        <v>22 U.S.C. 8411(c)(1)</v>
      </c>
      <c r="H713" s="46">
        <v>41912</v>
      </c>
      <c r="I713" s="13">
        <v>2014</v>
      </c>
      <c r="J713" s="47">
        <v>1500000000</v>
      </c>
      <c r="K713" s="47">
        <v>15000000</v>
      </c>
      <c r="L713" s="3" t="s">
        <v>80</v>
      </c>
      <c r="M713" s="3" t="s">
        <v>81</v>
      </c>
      <c r="N713" s="3" t="s">
        <v>82</v>
      </c>
    </row>
    <row r="714" spans="1:14" x14ac:dyDescent="0.3">
      <c r="A714" s="36" t="s">
        <v>37</v>
      </c>
      <c r="B714" s="13">
        <v>111</v>
      </c>
      <c r="C714" s="48" t="str">
        <f>HYPERLINK("https://uscode.house.gov/statutes/pl/111/73.pdf", "P.L. 111-73")</f>
        <v>P.L. 111-73</v>
      </c>
      <c r="D714" s="3" t="s">
        <v>1361</v>
      </c>
      <c r="E714" s="3" t="s">
        <v>1364</v>
      </c>
      <c r="F714" s="3" t="s">
        <v>1365</v>
      </c>
      <c r="G714" s="48" t="str">
        <f>HYPERLINK("https://uscode.house.gov/view.xhtml?req=granuleid:USC-prelim-title22-section8422&amp;num=0&amp;edition=prelim", "22 U.S.C. 8422(a)(1)")</f>
        <v>22 U.S.C. 8422(a)(1)</v>
      </c>
      <c r="H714" s="46">
        <v>41912</v>
      </c>
      <c r="I714" s="13">
        <v>2014</v>
      </c>
      <c r="J714" s="16" t="s">
        <v>12</v>
      </c>
      <c r="K714" s="16" t="s">
        <v>62</v>
      </c>
      <c r="L714" s="3" t="s">
        <v>80</v>
      </c>
      <c r="M714" s="3" t="s">
        <v>81</v>
      </c>
      <c r="N714" s="3" t="s">
        <v>82</v>
      </c>
    </row>
    <row r="715" spans="1:14" x14ac:dyDescent="0.3">
      <c r="A715" s="36" t="s">
        <v>37</v>
      </c>
      <c r="B715" s="13">
        <v>111</v>
      </c>
      <c r="C715" s="48" t="str">
        <f>HYPERLINK("https://uscode.house.gov/statutes/pl/111/73.pdf", "P.L. 111-73")</f>
        <v>P.L. 111-73</v>
      </c>
      <c r="D715" s="3" t="s">
        <v>1361</v>
      </c>
      <c r="E715" s="3" t="s">
        <v>1366</v>
      </c>
      <c r="F715" s="3" t="s">
        <v>1367</v>
      </c>
      <c r="G715" s="48" t="str">
        <f>HYPERLINK("https://uscode.house.gov/view.xhtml?req=granuleid:USC-prelim-title22-section8422&amp;num=0&amp;edition=prelim", "22 U.S.C. 8422(b)(1)")</f>
        <v>22 U.S.C. 8422(b)(1)</v>
      </c>
      <c r="H715" s="46">
        <v>41912</v>
      </c>
      <c r="I715" s="13">
        <v>2014</v>
      </c>
      <c r="J715" s="16" t="s">
        <v>12</v>
      </c>
      <c r="K715" s="16" t="s">
        <v>62</v>
      </c>
      <c r="L715" s="3" t="s">
        <v>80</v>
      </c>
      <c r="M715" s="3" t="s">
        <v>81</v>
      </c>
      <c r="N715" s="3" t="s">
        <v>82</v>
      </c>
    </row>
    <row r="716" spans="1:14" x14ac:dyDescent="0.3">
      <c r="A716" s="36" t="s">
        <v>37</v>
      </c>
      <c r="B716" s="13">
        <v>111</v>
      </c>
      <c r="C716" s="48" t="str">
        <f>HYPERLINK("https://uscode.house.gov/statutes/pl/111/73.pdf", "P.L. 111-73")</f>
        <v>P.L. 111-73</v>
      </c>
      <c r="D716" s="3" t="s">
        <v>1361</v>
      </c>
      <c r="E716" s="3" t="s">
        <v>1368</v>
      </c>
      <c r="F716" s="3" t="s">
        <v>1369</v>
      </c>
      <c r="G716" s="48" t="str">
        <f>HYPERLINK("https://uscode.house.gov/view.xhtml?req=granuleid:USC-prelim-title22-section8422&amp;num=0&amp;edition=prelim", "22 U.S.C. 8422(d)")</f>
        <v>22 U.S.C. 8422(d)</v>
      </c>
      <c r="H716" s="46">
        <v>41912</v>
      </c>
      <c r="I716" s="13">
        <v>2014</v>
      </c>
      <c r="J716" s="16" t="s">
        <v>12</v>
      </c>
      <c r="K716" s="16" t="s">
        <v>62</v>
      </c>
      <c r="L716" s="3" t="s">
        <v>80</v>
      </c>
      <c r="M716" s="3" t="s">
        <v>81</v>
      </c>
      <c r="N716" s="3" t="s">
        <v>82</v>
      </c>
    </row>
    <row r="717" spans="1:14" x14ac:dyDescent="0.3">
      <c r="A717" s="36" t="s">
        <v>37</v>
      </c>
      <c r="B717" s="13">
        <v>111</v>
      </c>
      <c r="C717" s="48" t="str">
        <f>HYPERLINK("https://uscode.house.gov/statutes/pl/111/85.pdf", "P.L. 111-85")</f>
        <v>P.L. 111-85</v>
      </c>
      <c r="D717" s="3" t="s">
        <v>1370</v>
      </c>
      <c r="E717" s="3" t="s">
        <v>899</v>
      </c>
      <c r="F717" s="3" t="s">
        <v>1371</v>
      </c>
      <c r="G717" s="49"/>
      <c r="H717" s="46">
        <v>42277</v>
      </c>
      <c r="I717" s="13">
        <v>2015</v>
      </c>
      <c r="J717" s="16" t="s">
        <v>12</v>
      </c>
      <c r="K717" s="16" t="s">
        <v>62</v>
      </c>
      <c r="L717" s="3" t="s">
        <v>47</v>
      </c>
      <c r="M717" s="3" t="s">
        <v>236</v>
      </c>
      <c r="N717" s="3" t="s">
        <v>49</v>
      </c>
    </row>
    <row r="718" spans="1:14" x14ac:dyDescent="0.3">
      <c r="A718" s="36" t="s">
        <v>37</v>
      </c>
      <c r="B718" s="13">
        <v>111</v>
      </c>
      <c r="C718" s="48" t="str">
        <f t="shared" ref="C718:C724" si="25">HYPERLINK("https://uscode.house.gov/statutes/pl/111/87.pdf", "P.L. 111-87")</f>
        <v>P.L. 111-87</v>
      </c>
      <c r="D718" s="3" t="s">
        <v>1372</v>
      </c>
      <c r="E718" s="3" t="s">
        <v>1373</v>
      </c>
      <c r="F718" s="3" t="s">
        <v>1374</v>
      </c>
      <c r="G718" s="48" t="str">
        <f>HYPERLINK("https://uscode.house.gov/view.xhtml?req=granuleid:USC-prelim-title42-section300ff-20&amp;num=0&amp;edition=prelim", "42 U.S.C. 300ff-20(a)")</f>
        <v>42 U.S.C. 300ff-20(a)</v>
      </c>
      <c r="H718" s="46">
        <v>41547</v>
      </c>
      <c r="I718" s="13">
        <v>2013</v>
      </c>
      <c r="J718" s="47">
        <v>789471000</v>
      </c>
      <c r="K718" s="47">
        <v>680752000</v>
      </c>
      <c r="L718" s="3" t="s">
        <v>60</v>
      </c>
      <c r="M718" s="3" t="s">
        <v>71</v>
      </c>
      <c r="N718" s="3" t="s">
        <v>72</v>
      </c>
    </row>
    <row r="719" spans="1:14" x14ac:dyDescent="0.3">
      <c r="A719" s="36" t="s">
        <v>37</v>
      </c>
      <c r="B719" s="13">
        <v>111</v>
      </c>
      <c r="C719" s="48" t="str">
        <f t="shared" si="25"/>
        <v>P.L. 111-87</v>
      </c>
      <c r="D719" s="3" t="s">
        <v>1372</v>
      </c>
      <c r="E719" s="3" t="s">
        <v>1375</v>
      </c>
      <c r="F719" s="3" t="s">
        <v>1376</v>
      </c>
      <c r="G719" s="48" t="str">
        <f>HYPERLINK("https://uscode.house.gov/view.xhtml?req=granuleid:USC-prelim-title42-section300ff-31b&amp;num=0&amp;edition=prelim", "42 U.S.C. 300ff-31b")</f>
        <v>42 U.S.C. 300ff-31b</v>
      </c>
      <c r="H719" s="46">
        <v>41547</v>
      </c>
      <c r="I719" s="13">
        <v>2013</v>
      </c>
      <c r="J719" s="47">
        <v>1562169000</v>
      </c>
      <c r="K719" s="47">
        <v>1364878000</v>
      </c>
      <c r="L719" s="3" t="s">
        <v>60</v>
      </c>
      <c r="M719" s="3" t="s">
        <v>71</v>
      </c>
      <c r="N719" s="3" t="s">
        <v>72</v>
      </c>
    </row>
    <row r="720" spans="1:14" x14ac:dyDescent="0.3">
      <c r="A720" s="36" t="s">
        <v>37</v>
      </c>
      <c r="B720" s="13">
        <v>111</v>
      </c>
      <c r="C720" s="48" t="str">
        <f t="shared" si="25"/>
        <v>P.L. 111-87</v>
      </c>
      <c r="D720" s="3" t="s">
        <v>1372</v>
      </c>
      <c r="E720" s="3" t="s">
        <v>1377</v>
      </c>
      <c r="F720" s="3" t="s">
        <v>1378</v>
      </c>
      <c r="G720" s="48" t="str">
        <f>HYPERLINK("https://uscode.house.gov/view.xhtml?req=granuleid:USC-prelim-title42-section300ff-55&amp;num=0&amp;edition=prelim", "42 U.S.C. 300ff-55")</f>
        <v>42 U.S.C. 300ff-55</v>
      </c>
      <c r="H720" s="46">
        <v>41547</v>
      </c>
      <c r="I720" s="13">
        <v>2013</v>
      </c>
      <c r="J720" s="47">
        <v>285766000</v>
      </c>
      <c r="K720" s="47">
        <v>208970000</v>
      </c>
      <c r="L720" s="3" t="s">
        <v>60</v>
      </c>
      <c r="M720" s="3" t="s">
        <v>71</v>
      </c>
      <c r="N720" s="3" t="s">
        <v>72</v>
      </c>
    </row>
    <row r="721" spans="1:14" x14ac:dyDescent="0.3">
      <c r="A721" s="36" t="s">
        <v>37</v>
      </c>
      <c r="B721" s="13">
        <v>111</v>
      </c>
      <c r="C721" s="48" t="str">
        <f t="shared" si="25"/>
        <v>P.L. 111-87</v>
      </c>
      <c r="D721" s="3" t="s">
        <v>1372</v>
      </c>
      <c r="E721" s="3" t="s">
        <v>1379</v>
      </c>
      <c r="F721" s="3" t="s">
        <v>1380</v>
      </c>
      <c r="G721" s="48" t="str">
        <f>HYPERLINK("https://uscode.house.gov/view.xhtml?req=granuleid:USC-prelim-title42-section300ff-71&amp;num=0&amp;edition=prelim", "42 U.S.C. 300ff-71(j)")</f>
        <v>42 U.S.C. 300ff-71(j)</v>
      </c>
      <c r="H721" s="46">
        <v>41547</v>
      </c>
      <c r="I721" s="13">
        <v>2013</v>
      </c>
      <c r="J721" s="47">
        <v>87273000</v>
      </c>
      <c r="K721" s="47">
        <v>77935000</v>
      </c>
      <c r="L721" s="3" t="s">
        <v>60</v>
      </c>
      <c r="M721" s="3" t="s">
        <v>71</v>
      </c>
      <c r="N721" s="3" t="s">
        <v>72</v>
      </c>
    </row>
    <row r="722" spans="1:14" x14ac:dyDescent="0.3">
      <c r="A722" s="36" t="s">
        <v>37</v>
      </c>
      <c r="B722" s="13">
        <v>111</v>
      </c>
      <c r="C722" s="48" t="str">
        <f t="shared" si="25"/>
        <v>P.L. 111-87</v>
      </c>
      <c r="D722" s="3" t="s">
        <v>1372</v>
      </c>
      <c r="E722" s="3" t="s">
        <v>1381</v>
      </c>
      <c r="F722" s="3" t="s">
        <v>1382</v>
      </c>
      <c r="G722" s="48" t="str">
        <f>HYPERLINK("https://uscode.house.gov/view.xhtml?req=granuleid:USC-prelim-title42-section300ff-111&amp;num=0&amp;edition=prelim", "42 U.S.C. 300ff-111(c)(1)")</f>
        <v>42 U.S.C. 300ff-111(c)(1)</v>
      </c>
      <c r="H722" s="46">
        <v>41547</v>
      </c>
      <c r="I722" s="13">
        <v>2013</v>
      </c>
      <c r="J722" s="47">
        <v>42178000</v>
      </c>
      <c r="K722" s="47">
        <v>34886000</v>
      </c>
      <c r="L722" s="3" t="s">
        <v>60</v>
      </c>
      <c r="M722" s="3" t="s">
        <v>71</v>
      </c>
      <c r="N722" s="3" t="s">
        <v>72</v>
      </c>
    </row>
    <row r="723" spans="1:14" x14ac:dyDescent="0.3">
      <c r="A723" s="36" t="s">
        <v>37</v>
      </c>
      <c r="B723" s="13">
        <v>111</v>
      </c>
      <c r="C723" s="48" t="str">
        <f t="shared" si="25"/>
        <v>P.L. 111-87</v>
      </c>
      <c r="D723" s="3" t="s">
        <v>1372</v>
      </c>
      <c r="E723" s="3" t="s">
        <v>1383</v>
      </c>
      <c r="F723" s="3" t="s">
        <v>1384</v>
      </c>
      <c r="G723" s="48" t="str">
        <f>HYPERLINK("https://uscode.house.gov/view.xhtml?req=granuleid:USC-prelim-title42-section300ff-111&amp;num=0&amp;edition=prelim", "42 U.S.C. 300ff-111(c)(2)")</f>
        <v>42 U.S.C. 300ff-111(c)(2)</v>
      </c>
      <c r="H723" s="46">
        <v>41547</v>
      </c>
      <c r="I723" s="13">
        <v>2013</v>
      </c>
      <c r="J723" s="47">
        <v>15802000</v>
      </c>
      <c r="K723" s="47">
        <v>13620000</v>
      </c>
      <c r="L723" s="3" t="s">
        <v>60</v>
      </c>
      <c r="M723" s="3" t="s">
        <v>71</v>
      </c>
      <c r="N723" s="3" t="s">
        <v>72</v>
      </c>
    </row>
    <row r="724" spans="1:14" x14ac:dyDescent="0.3">
      <c r="A724" s="36" t="s">
        <v>37</v>
      </c>
      <c r="B724" s="13">
        <v>111</v>
      </c>
      <c r="C724" s="48" t="str">
        <f t="shared" si="25"/>
        <v>P.L. 111-87</v>
      </c>
      <c r="D724" s="3" t="s">
        <v>1372</v>
      </c>
      <c r="E724" s="3" t="s">
        <v>1385</v>
      </c>
      <c r="F724" s="3" t="s">
        <v>1386</v>
      </c>
      <c r="G724" s="48" t="str">
        <f>HYPERLINK("https://uscode.house.gov/view.xhtml?req=granuleid:USC-prelim-title42-section300ff-121&amp;num=0&amp;edition=prelim", "42 U.S.C. 300ff-121(a)")</f>
        <v>42 U.S.C. 300ff-121(a)</v>
      </c>
      <c r="H724" s="46">
        <v>41547</v>
      </c>
      <c r="I724" s="13">
        <v>2013</v>
      </c>
      <c r="J724" s="47">
        <v>169077000</v>
      </c>
      <c r="K724" s="16" t="s">
        <v>62</v>
      </c>
      <c r="L724" s="3" t="s">
        <v>60</v>
      </c>
      <c r="M724" s="3" t="s">
        <v>71</v>
      </c>
      <c r="N724" s="3" t="s">
        <v>72</v>
      </c>
    </row>
    <row r="725" spans="1:14" x14ac:dyDescent="0.3">
      <c r="A725" s="36" t="s">
        <v>37</v>
      </c>
      <c r="B725" s="13">
        <v>111</v>
      </c>
      <c r="C725" s="48" t="str">
        <f t="shared" ref="C725:C756" si="26">HYPERLINK("https://uscode.house.gov/statutes/pl/111/148.pdf", "P.L. 111-148")</f>
        <v>P.L. 111-148</v>
      </c>
      <c r="D725" s="3" t="s">
        <v>1387</v>
      </c>
      <c r="E725" s="3" t="s">
        <v>1388</v>
      </c>
      <c r="F725" s="3" t="s">
        <v>1389</v>
      </c>
      <c r="G725" s="48" t="str">
        <f>HYPERLINK("https://uscode.house.gov/view.xhtml?req=granuleid:USC-prelim-title42-section712&amp;num=0&amp;edition=prelim", "42 U.S.C. 712")</f>
        <v>42 U.S.C. 712</v>
      </c>
      <c r="H725" s="46">
        <v>41182</v>
      </c>
      <c r="I725" s="13">
        <v>2012</v>
      </c>
      <c r="J725" s="16" t="s">
        <v>12</v>
      </c>
      <c r="K725" s="47">
        <v>10000000</v>
      </c>
      <c r="L725" s="3" t="s">
        <v>60</v>
      </c>
      <c r="M725" s="3" t="s">
        <v>71</v>
      </c>
      <c r="N725" s="3" t="s">
        <v>72</v>
      </c>
    </row>
    <row r="726" spans="1:14" x14ac:dyDescent="0.3">
      <c r="A726" s="36" t="s">
        <v>37</v>
      </c>
      <c r="B726" s="13">
        <v>111</v>
      </c>
      <c r="C726" s="48" t="str">
        <f t="shared" si="26"/>
        <v>P.L. 111-148</v>
      </c>
      <c r="D726" s="3" t="s">
        <v>1387</v>
      </c>
      <c r="E726" s="3" t="s">
        <v>1390</v>
      </c>
      <c r="F726" s="3" t="s">
        <v>1391</v>
      </c>
      <c r="G726" s="48" t="str">
        <f>HYPERLINK("https://uscode.house.gov/view.xhtml?req=granuleid:USC-prelim-title42-section299b-31&amp;num=0&amp;edition=prelim", "42 U.S.C. 299b-31")</f>
        <v>42 U.S.C. 299b-31</v>
      </c>
      <c r="H726" s="46">
        <v>41912</v>
      </c>
      <c r="I726" s="13">
        <v>2014</v>
      </c>
      <c r="J726" s="47">
        <v>75000000</v>
      </c>
      <c r="K726" s="16" t="s">
        <v>62</v>
      </c>
      <c r="L726" s="3" t="s">
        <v>60</v>
      </c>
      <c r="M726" s="3" t="s">
        <v>71</v>
      </c>
      <c r="N726" s="3" t="s">
        <v>72</v>
      </c>
    </row>
    <row r="727" spans="1:14" x14ac:dyDescent="0.3">
      <c r="A727" s="36" t="s">
        <v>37</v>
      </c>
      <c r="B727" s="13">
        <v>111</v>
      </c>
      <c r="C727" s="48" t="str">
        <f t="shared" si="26"/>
        <v>P.L. 111-148</v>
      </c>
      <c r="D727" s="3" t="s">
        <v>1387</v>
      </c>
      <c r="E727" s="3" t="s">
        <v>1392</v>
      </c>
      <c r="F727" s="3" t="s">
        <v>1393</v>
      </c>
      <c r="G727" s="48" t="str">
        <f>HYPERLINK("https://uscode.house.gov/view.xhtml?req=granuleid:USC-prelim-title42-section280j-1&amp;num=0&amp;edition=prelim", "42 U.S.C. 280j-1(e)")</f>
        <v>42 U.S.C. 280j-1(e)</v>
      </c>
      <c r="H727" s="46">
        <v>41912</v>
      </c>
      <c r="I727" s="13">
        <v>2014</v>
      </c>
      <c r="J727" s="16" t="s">
        <v>12</v>
      </c>
      <c r="K727" s="16" t="s">
        <v>62</v>
      </c>
      <c r="L727" s="3" t="s">
        <v>60</v>
      </c>
      <c r="M727" s="3" t="s">
        <v>71</v>
      </c>
      <c r="N727" s="3" t="s">
        <v>72</v>
      </c>
    </row>
    <row r="728" spans="1:14" x14ac:dyDescent="0.3">
      <c r="A728" s="36" t="s">
        <v>37</v>
      </c>
      <c r="B728" s="13">
        <v>111</v>
      </c>
      <c r="C728" s="48" t="str">
        <f t="shared" si="26"/>
        <v>P.L. 111-148</v>
      </c>
      <c r="D728" s="3" t="s">
        <v>1387</v>
      </c>
      <c r="E728" s="3" t="s">
        <v>1392</v>
      </c>
      <c r="F728" s="3" t="s">
        <v>1394</v>
      </c>
      <c r="G728" s="48" t="str">
        <f>HYPERLINK("https://uscode.house.gov/view.xhtml?req=granuleid:USC-prelim-title42-section280j-2&amp;num=0&amp;edition=prelim", "42 U.S.C. 280j-2(e)")</f>
        <v>42 U.S.C. 280j-2(e)</v>
      </c>
      <c r="H728" s="46">
        <v>41912</v>
      </c>
      <c r="I728" s="13">
        <v>2014</v>
      </c>
      <c r="J728" s="16" t="s">
        <v>12</v>
      </c>
      <c r="K728" s="16" t="s">
        <v>62</v>
      </c>
      <c r="L728" s="3" t="s">
        <v>60</v>
      </c>
      <c r="M728" s="3" t="s">
        <v>71</v>
      </c>
      <c r="N728" s="3" t="s">
        <v>72</v>
      </c>
    </row>
    <row r="729" spans="1:14" x14ac:dyDescent="0.3">
      <c r="A729" s="36" t="s">
        <v>37</v>
      </c>
      <c r="B729" s="13">
        <v>111</v>
      </c>
      <c r="C729" s="48" t="str">
        <f t="shared" si="26"/>
        <v>P.L. 111-148</v>
      </c>
      <c r="D729" s="3" t="s">
        <v>1387</v>
      </c>
      <c r="E729" s="3" t="s">
        <v>1395</v>
      </c>
      <c r="F729" s="3" t="s">
        <v>1396</v>
      </c>
      <c r="G729" s="48" t="str">
        <f>HYPERLINK("https://uscode.house.gov/view.xhtml?req=granuleid:USC-prelim-title42-section299b-33&amp;num=0&amp;edition=prelim", "42 U.S.C. 299b-33(g)")</f>
        <v>42 U.S.C. 299b-33(g)</v>
      </c>
      <c r="H729" s="46">
        <v>41912</v>
      </c>
      <c r="I729" s="13">
        <v>2014</v>
      </c>
      <c r="J729" s="16" t="s">
        <v>12</v>
      </c>
      <c r="K729" s="16" t="s">
        <v>62</v>
      </c>
      <c r="L729" s="3" t="s">
        <v>60</v>
      </c>
      <c r="M729" s="3" t="s">
        <v>71</v>
      </c>
      <c r="N729" s="3" t="s">
        <v>72</v>
      </c>
    </row>
    <row r="730" spans="1:14" x14ac:dyDescent="0.3">
      <c r="A730" s="36" t="s">
        <v>37</v>
      </c>
      <c r="B730" s="13">
        <v>111</v>
      </c>
      <c r="C730" s="48" t="str">
        <f t="shared" si="26"/>
        <v>P.L. 111-148</v>
      </c>
      <c r="D730" s="3" t="s">
        <v>1387</v>
      </c>
      <c r="E730" s="3" t="s">
        <v>1397</v>
      </c>
      <c r="F730" s="3" t="s">
        <v>1398</v>
      </c>
      <c r="G730" s="48" t="str">
        <f>HYPERLINK("https://uscode.house.gov/view.xhtml?req=granuleid:USC-prelim-title42-section289g-4&amp;num=0&amp;edition=prelim", "42 U.S.C. 289g-4(d)")</f>
        <v>42 U.S.C. 289g-4(d)</v>
      </c>
      <c r="H730" s="46">
        <v>41912</v>
      </c>
      <c r="I730" s="13">
        <v>2014</v>
      </c>
      <c r="J730" s="16" t="s">
        <v>12</v>
      </c>
      <c r="K730" s="16" t="s">
        <v>62</v>
      </c>
      <c r="L730" s="3" t="s">
        <v>60</v>
      </c>
      <c r="M730" s="3" t="s">
        <v>71</v>
      </c>
      <c r="N730" s="3" t="s">
        <v>72</v>
      </c>
    </row>
    <row r="731" spans="1:14" x14ac:dyDescent="0.3">
      <c r="A731" s="36" t="s">
        <v>37</v>
      </c>
      <c r="B731" s="13">
        <v>111</v>
      </c>
      <c r="C731" s="48" t="str">
        <f t="shared" si="26"/>
        <v>P.L. 111-148</v>
      </c>
      <c r="D731" s="3" t="s">
        <v>1387</v>
      </c>
      <c r="E731" s="3" t="s">
        <v>1399</v>
      </c>
      <c r="F731" s="3" t="s">
        <v>1400</v>
      </c>
      <c r="G731" s="48" t="str">
        <f>HYPERLINK("https://uscode.house.gov/view.xhtml?req=granuleid:USC-prelim-title42-section300d-45&amp;num=0&amp;edition=prelim", "42 U.S.C. 300d-45")</f>
        <v>42 U.S.C. 300d-45</v>
      </c>
      <c r="H731" s="46">
        <v>42277</v>
      </c>
      <c r="I731" s="13">
        <v>2015</v>
      </c>
      <c r="J731" s="47">
        <v>100000000</v>
      </c>
      <c r="K731" s="16" t="s">
        <v>62</v>
      </c>
      <c r="L731" s="3" t="s">
        <v>60</v>
      </c>
      <c r="M731" s="3" t="s">
        <v>71</v>
      </c>
      <c r="N731" s="3" t="s">
        <v>49</v>
      </c>
    </row>
    <row r="732" spans="1:14" x14ac:dyDescent="0.3">
      <c r="A732" s="36" t="s">
        <v>37</v>
      </c>
      <c r="B732" s="13">
        <v>111</v>
      </c>
      <c r="C732" s="48" t="str">
        <f t="shared" si="26"/>
        <v>P.L. 111-148</v>
      </c>
      <c r="D732" s="3" t="s">
        <v>1387</v>
      </c>
      <c r="E732" s="3" t="s">
        <v>1401</v>
      </c>
      <c r="F732" s="3" t="s">
        <v>1402</v>
      </c>
      <c r="G732" s="48" t="str">
        <f>HYPERLINK("https://uscode.house.gov/view.xhtml?req=granuleid:USC-prelim-title42-section300d-82&amp;num=0&amp;edition=prelim", "42 U.S.C. 300d-82")</f>
        <v>42 U.S.C. 300d-82</v>
      </c>
      <c r="H732" s="46">
        <v>42277</v>
      </c>
      <c r="I732" s="13">
        <v>2015</v>
      </c>
      <c r="J732" s="47">
        <v>100000000</v>
      </c>
      <c r="K732" s="16" t="s">
        <v>62</v>
      </c>
      <c r="L732" s="3" t="s">
        <v>60</v>
      </c>
      <c r="M732" s="3" t="s">
        <v>71</v>
      </c>
      <c r="N732" s="3" t="s">
        <v>72</v>
      </c>
    </row>
    <row r="733" spans="1:14" x14ac:dyDescent="0.3">
      <c r="A733" s="36" t="s">
        <v>37</v>
      </c>
      <c r="B733" s="13">
        <v>111</v>
      </c>
      <c r="C733" s="48" t="str">
        <f t="shared" si="26"/>
        <v>P.L. 111-148</v>
      </c>
      <c r="D733" s="3" t="s">
        <v>1387</v>
      </c>
      <c r="E733" s="3" t="s">
        <v>1403</v>
      </c>
      <c r="F733" s="3" t="s">
        <v>1404</v>
      </c>
      <c r="G733" s="48" t="str">
        <f>HYPERLINK("https://uscode.house.gov/view.xhtml?req=granuleid:USC-prelim-title42-section237a&amp;num=0&amp;edition=prelim", "42 U.S.C. 237a(e)")</f>
        <v>42 U.S.C. 237a(e)</v>
      </c>
      <c r="H733" s="46">
        <v>41912</v>
      </c>
      <c r="I733" s="13">
        <v>2014</v>
      </c>
      <c r="J733" s="16" t="s">
        <v>12</v>
      </c>
      <c r="K733" s="47">
        <v>44140000</v>
      </c>
      <c r="L733" s="3" t="s">
        <v>60</v>
      </c>
      <c r="M733" s="3" t="s">
        <v>71</v>
      </c>
      <c r="N733" s="3" t="s">
        <v>72</v>
      </c>
    </row>
    <row r="734" spans="1:14" x14ac:dyDescent="0.3">
      <c r="A734" s="36" t="s">
        <v>37</v>
      </c>
      <c r="B734" s="13">
        <v>111</v>
      </c>
      <c r="C734" s="48" t="str">
        <f t="shared" si="26"/>
        <v>P.L. 111-148</v>
      </c>
      <c r="D734" s="3" t="s">
        <v>1387</v>
      </c>
      <c r="E734" s="3" t="s">
        <v>1405</v>
      </c>
      <c r="F734" s="3" t="s">
        <v>1406</v>
      </c>
      <c r="G734" s="48" t="str">
        <f>HYPERLINK("https://uscode.house.gov/view.xhtml?req=granuleid:USC-prelim-title42-section242s&amp;num=0&amp;edition=prelim", "42 U.S.C. 242s(d)")</f>
        <v>42 U.S.C. 242s(d)</v>
      </c>
      <c r="H734" s="46">
        <v>41912</v>
      </c>
      <c r="I734" s="13">
        <v>2014</v>
      </c>
      <c r="J734" s="16" t="s">
        <v>12</v>
      </c>
      <c r="K734" s="16" t="s">
        <v>62</v>
      </c>
      <c r="L734" s="3" t="s">
        <v>60</v>
      </c>
      <c r="M734" s="3" t="s">
        <v>71</v>
      </c>
      <c r="N734" s="3" t="s">
        <v>72</v>
      </c>
    </row>
    <row r="735" spans="1:14" x14ac:dyDescent="0.3">
      <c r="A735" s="36" t="s">
        <v>37</v>
      </c>
      <c r="B735" s="13">
        <v>111</v>
      </c>
      <c r="C735" s="48" t="str">
        <f t="shared" si="26"/>
        <v>P.L. 111-148</v>
      </c>
      <c r="D735" s="3" t="s">
        <v>1387</v>
      </c>
      <c r="E735" s="3" t="s">
        <v>1407</v>
      </c>
      <c r="F735" s="3" t="s">
        <v>1408</v>
      </c>
      <c r="G735" s="48" t="str">
        <f>HYPERLINK("https://uscode.house.gov/view.xhtml?req=granuleid:USC-prelim-title42-section299b-24a&amp;num=0&amp;edition=prelim", "42 U.S.C. 299b-24a")</f>
        <v>42 U.S.C. 299b-24a</v>
      </c>
      <c r="H735" s="46">
        <v>41912</v>
      </c>
      <c r="I735" s="13">
        <v>2014</v>
      </c>
      <c r="J735" s="16" t="s">
        <v>12</v>
      </c>
      <c r="K735" s="16" t="s">
        <v>62</v>
      </c>
      <c r="L735" s="3" t="s">
        <v>60</v>
      </c>
      <c r="M735" s="3" t="s">
        <v>71</v>
      </c>
      <c r="N735" s="3" t="s">
        <v>72</v>
      </c>
    </row>
    <row r="736" spans="1:14" x14ac:dyDescent="0.3">
      <c r="A736" s="36" t="s">
        <v>37</v>
      </c>
      <c r="B736" s="13">
        <v>111</v>
      </c>
      <c r="C736" s="48" t="str">
        <f t="shared" si="26"/>
        <v>P.L. 111-148</v>
      </c>
      <c r="D736" s="3" t="s">
        <v>1387</v>
      </c>
      <c r="E736" s="3" t="s">
        <v>1409</v>
      </c>
      <c r="F736" s="3" t="s">
        <v>1410</v>
      </c>
      <c r="G736" s="48" t="str">
        <f>HYPERLINK("https://uscode.house.gov/view.xhtml?req=granuleid:USC-prelim-title42-section914&amp;num=0&amp;edition=prelim", "42 U.S.C. 914(e)")</f>
        <v>42 U.S.C. 914(e)</v>
      </c>
      <c r="H736" s="46">
        <v>41912</v>
      </c>
      <c r="I736" s="13">
        <v>2014</v>
      </c>
      <c r="J736" s="16" t="s">
        <v>12</v>
      </c>
      <c r="K736" s="16" t="s">
        <v>62</v>
      </c>
      <c r="L736" s="3" t="s">
        <v>60</v>
      </c>
      <c r="M736" s="3" t="s">
        <v>71</v>
      </c>
      <c r="N736" s="3" t="s">
        <v>72</v>
      </c>
    </row>
    <row r="737" spans="1:14" x14ac:dyDescent="0.3">
      <c r="A737" s="36" t="s">
        <v>37</v>
      </c>
      <c r="B737" s="13">
        <v>111</v>
      </c>
      <c r="C737" s="48" t="str">
        <f t="shared" si="26"/>
        <v>P.L. 111-148</v>
      </c>
      <c r="D737" s="3" t="s">
        <v>1387</v>
      </c>
      <c r="E737" s="3" t="s">
        <v>1411</v>
      </c>
      <c r="F737" s="3" t="s">
        <v>1412</v>
      </c>
      <c r="G737" s="49"/>
      <c r="H737" s="46">
        <v>41912</v>
      </c>
      <c r="I737" s="13">
        <v>2014</v>
      </c>
      <c r="J737" s="16" t="s">
        <v>12</v>
      </c>
      <c r="K737" s="16" t="s">
        <v>62</v>
      </c>
      <c r="L737" s="3" t="s">
        <v>60</v>
      </c>
      <c r="M737" s="3" t="s">
        <v>71</v>
      </c>
      <c r="N737" s="3" t="s">
        <v>406</v>
      </c>
    </row>
    <row r="738" spans="1:14" x14ac:dyDescent="0.3">
      <c r="A738" s="36" t="s">
        <v>37</v>
      </c>
      <c r="B738" s="13">
        <v>111</v>
      </c>
      <c r="C738" s="48" t="str">
        <f t="shared" si="26"/>
        <v>P.L. 111-148</v>
      </c>
      <c r="D738" s="3" t="s">
        <v>1387</v>
      </c>
      <c r="E738" s="3" t="s">
        <v>1413</v>
      </c>
      <c r="F738" s="3" t="s">
        <v>1414</v>
      </c>
      <c r="G738" s="48" t="str">
        <f>HYPERLINK("https://uscode.house.gov/view.xhtml?req=granuleid:USC-prelim-title42-section256a&amp;num=0&amp;edition=prelim", "42 U.S.C. 256a(m)")</f>
        <v>42 U.S.C. 256a(m)</v>
      </c>
      <c r="H738" s="46">
        <v>42277</v>
      </c>
      <c r="I738" s="13">
        <v>2015</v>
      </c>
      <c r="J738" s="16" t="s">
        <v>12</v>
      </c>
      <c r="K738" s="16" t="s">
        <v>62</v>
      </c>
      <c r="L738" s="3" t="s">
        <v>60</v>
      </c>
      <c r="M738" s="3" t="s">
        <v>71</v>
      </c>
      <c r="N738" s="3" t="s">
        <v>72</v>
      </c>
    </row>
    <row r="739" spans="1:14" x14ac:dyDescent="0.3">
      <c r="A739" s="36" t="s">
        <v>37</v>
      </c>
      <c r="B739" s="13">
        <v>111</v>
      </c>
      <c r="C739" s="48" t="str">
        <f t="shared" si="26"/>
        <v>P.L. 111-148</v>
      </c>
      <c r="D739" s="3" t="s">
        <v>1387</v>
      </c>
      <c r="E739" s="3" t="s">
        <v>1415</v>
      </c>
      <c r="F739" s="3" t="s">
        <v>1416</v>
      </c>
      <c r="G739" s="48" t="str">
        <f>HYPERLINK("https://uscode.house.gov/view.xhtml?req=granuleid:USC-prelim-title42-section300u-13&amp;num=0&amp;edition=prelim", "42 U.S.C. 300u-13(f)")</f>
        <v>42 U.S.C. 300u-13(f)</v>
      </c>
      <c r="H739" s="46">
        <v>41912</v>
      </c>
      <c r="I739" s="13">
        <v>2014</v>
      </c>
      <c r="J739" s="16" t="s">
        <v>12</v>
      </c>
      <c r="K739" s="16" t="s">
        <v>62</v>
      </c>
      <c r="L739" s="3" t="s">
        <v>60</v>
      </c>
      <c r="M739" s="3" t="s">
        <v>71</v>
      </c>
      <c r="N739" s="3" t="s">
        <v>72</v>
      </c>
    </row>
    <row r="740" spans="1:14" x14ac:dyDescent="0.3">
      <c r="A740" s="36" t="s">
        <v>37</v>
      </c>
      <c r="B740" s="13">
        <v>111</v>
      </c>
      <c r="C740" s="48" t="str">
        <f t="shared" si="26"/>
        <v>P.L. 111-148</v>
      </c>
      <c r="D740" s="3" t="s">
        <v>1387</v>
      </c>
      <c r="E740" s="3" t="s">
        <v>1417</v>
      </c>
      <c r="F740" s="3" t="s">
        <v>1418</v>
      </c>
      <c r="G740" s="48" t="str">
        <f>HYPERLINK("https://uscode.house.gov/view.xhtml?req=granuleid:USC-prelim-title42-section300kk&amp;num=0&amp;edition=prelim", "42 U.S.C. 300kk(g)")</f>
        <v>42 U.S.C. 300kk(g)</v>
      </c>
      <c r="H740" s="46">
        <v>41912</v>
      </c>
      <c r="I740" s="13">
        <v>2014</v>
      </c>
      <c r="J740" s="16" t="s">
        <v>12</v>
      </c>
      <c r="K740" s="16" t="s">
        <v>62</v>
      </c>
      <c r="L740" s="3" t="s">
        <v>60</v>
      </c>
      <c r="M740" s="3" t="s">
        <v>71</v>
      </c>
      <c r="N740" s="3" t="s">
        <v>72</v>
      </c>
    </row>
    <row r="741" spans="1:14" x14ac:dyDescent="0.3">
      <c r="A741" s="36" t="s">
        <v>37</v>
      </c>
      <c r="B741" s="13">
        <v>111</v>
      </c>
      <c r="C741" s="48" t="str">
        <f t="shared" si="26"/>
        <v>P.L. 111-148</v>
      </c>
      <c r="D741" s="3" t="s">
        <v>1387</v>
      </c>
      <c r="E741" s="3" t="s">
        <v>1419</v>
      </c>
      <c r="F741" s="3" t="s">
        <v>1420</v>
      </c>
      <c r="G741" s="48" t="str">
        <f>HYPERLINK("https://uscode.house.gov/view.xhtml?req=granuleid:USC-prelim-title42-section294n&amp;num=0&amp;edition=prelim", "42 U.S.C. 294n(e)(1)")</f>
        <v>42 U.S.C. 294n(e)(1)</v>
      </c>
      <c r="H741" s="46">
        <v>41912</v>
      </c>
      <c r="I741" s="13">
        <v>2014</v>
      </c>
      <c r="J741" s="47">
        <v>4500000</v>
      </c>
      <c r="K741" s="16" t="s">
        <v>62</v>
      </c>
      <c r="L741" s="3" t="s">
        <v>60</v>
      </c>
      <c r="M741" s="3" t="s">
        <v>71</v>
      </c>
      <c r="N741" s="3" t="s">
        <v>72</v>
      </c>
    </row>
    <row r="742" spans="1:14" x14ac:dyDescent="0.3">
      <c r="A742" s="36" t="s">
        <v>37</v>
      </c>
      <c r="B742" s="13">
        <v>111</v>
      </c>
      <c r="C742" s="48" t="str">
        <f t="shared" si="26"/>
        <v>P.L. 111-148</v>
      </c>
      <c r="D742" s="3" t="s">
        <v>1387</v>
      </c>
      <c r="E742" s="3" t="s">
        <v>1421</v>
      </c>
      <c r="F742" s="3" t="s">
        <v>1422</v>
      </c>
      <c r="G742" s="48" t="str">
        <f>HYPERLINK("https://uscode.house.gov/view.xhtml?req=granuleid:USC-prelim-title42-section294n&amp;num=0&amp;edition=prelim", "42 U.S.C. 294n(e)(C)")</f>
        <v>42 U.S.C. 294n(e)(C)</v>
      </c>
      <c r="H742" s="46">
        <v>41912</v>
      </c>
      <c r="I742" s="13">
        <v>2014</v>
      </c>
      <c r="J742" s="16" t="s">
        <v>12</v>
      </c>
      <c r="K742" s="47">
        <v>5663000</v>
      </c>
      <c r="L742" s="3" t="s">
        <v>60</v>
      </c>
      <c r="M742" s="3" t="s">
        <v>71</v>
      </c>
      <c r="N742" s="3" t="s">
        <v>72</v>
      </c>
    </row>
    <row r="743" spans="1:14" x14ac:dyDescent="0.3">
      <c r="A743" s="36" t="s">
        <v>37</v>
      </c>
      <c r="B743" s="13">
        <v>111</v>
      </c>
      <c r="C743" s="48" t="str">
        <f t="shared" si="26"/>
        <v>P.L. 111-148</v>
      </c>
      <c r="D743" s="3" t="s">
        <v>1387</v>
      </c>
      <c r="E743" s="3" t="s">
        <v>1423</v>
      </c>
      <c r="F743" s="3" t="s">
        <v>1424</v>
      </c>
      <c r="G743" s="48" t="str">
        <f>HYPERLINK("https://uscode.house.gov/view.xhtml?req=granuleid:USC-prelim-title42-section295f&amp;num=0&amp;edition=prelim", "42 U.S.C. 295f(e)")</f>
        <v>42 U.S.C. 295f(e)</v>
      </c>
      <c r="H743" s="46">
        <v>41912</v>
      </c>
      <c r="I743" s="13">
        <v>2014</v>
      </c>
      <c r="J743" s="47">
        <v>30000000</v>
      </c>
      <c r="K743" s="47">
        <v>10000000</v>
      </c>
      <c r="L743" s="3" t="s">
        <v>60</v>
      </c>
      <c r="M743" s="3" t="s">
        <v>71</v>
      </c>
      <c r="N743" s="3" t="s">
        <v>72</v>
      </c>
    </row>
    <row r="744" spans="1:14" x14ac:dyDescent="0.3">
      <c r="A744" s="36" t="s">
        <v>37</v>
      </c>
      <c r="B744" s="13">
        <v>111</v>
      </c>
      <c r="C744" s="48" t="str">
        <f t="shared" si="26"/>
        <v>P.L. 111-148</v>
      </c>
      <c r="D744" s="3" t="s">
        <v>1387</v>
      </c>
      <c r="E744" s="3" t="s">
        <v>1423</v>
      </c>
      <c r="F744" s="3" t="s">
        <v>1425</v>
      </c>
      <c r="G744" s="48" t="str">
        <f>HYPERLINK("https://uscode.house.gov/view.xhtml?req=granuleid:USC-prelim-title42-section295f&amp;num=0&amp;edition=prelim", "42 U.S.C. 295f(e)")</f>
        <v>42 U.S.C. 295f(e)</v>
      </c>
      <c r="H744" s="46">
        <v>41912</v>
      </c>
      <c r="I744" s="13">
        <v>2014</v>
      </c>
      <c r="J744" s="47">
        <v>20000000</v>
      </c>
      <c r="K744" s="16" t="s">
        <v>62</v>
      </c>
      <c r="L744" s="3" t="s">
        <v>60</v>
      </c>
      <c r="M744" s="3" t="s">
        <v>71</v>
      </c>
      <c r="N744" s="3" t="s">
        <v>72</v>
      </c>
    </row>
    <row r="745" spans="1:14" x14ac:dyDescent="0.3">
      <c r="A745" s="36" t="s">
        <v>37</v>
      </c>
      <c r="B745" s="13">
        <v>111</v>
      </c>
      <c r="C745" s="48" t="str">
        <f t="shared" si="26"/>
        <v>P.L. 111-148</v>
      </c>
      <c r="D745" s="3" t="s">
        <v>1387</v>
      </c>
      <c r="E745" s="3" t="s">
        <v>1426</v>
      </c>
      <c r="F745" s="3" t="s">
        <v>1427</v>
      </c>
      <c r="G745" s="48" t="str">
        <f>HYPERLINK("https://uscode.house.gov/view.xhtml?req=granuleid:USC-prelim-title42-section295f-2&amp;num=0&amp;edition=prelim", "42 U.S.C. 295f-2(c)")</f>
        <v>42 U.S.C. 295f-2(c)</v>
      </c>
      <c r="H745" s="46">
        <v>42277</v>
      </c>
      <c r="I745" s="13">
        <v>2015</v>
      </c>
      <c r="J745" s="16" t="s">
        <v>12</v>
      </c>
      <c r="K745" s="16" t="s">
        <v>62</v>
      </c>
      <c r="L745" s="3" t="s">
        <v>60</v>
      </c>
      <c r="M745" s="3" t="s">
        <v>71</v>
      </c>
      <c r="N745" s="3" t="s">
        <v>72</v>
      </c>
    </row>
    <row r="746" spans="1:14" x14ac:dyDescent="0.3">
      <c r="A746" s="36" t="s">
        <v>37</v>
      </c>
      <c r="B746" s="13">
        <v>111</v>
      </c>
      <c r="C746" s="48" t="str">
        <f t="shared" si="26"/>
        <v>P.L. 111-148</v>
      </c>
      <c r="D746" s="3" t="s">
        <v>1387</v>
      </c>
      <c r="E746" s="3" t="s">
        <v>1428</v>
      </c>
      <c r="F746" s="3" t="s">
        <v>1429</v>
      </c>
      <c r="G746" s="48" t="str">
        <f>HYPERLINK("https://uscode.house.gov/view.xhtml?req=granuleid:USC-prelim-title42-section254c&amp;num=0&amp;edition=prelim", "42 U.S.C. 254c(1a)(e)")</f>
        <v>42 U.S.C. 254c(1a)(e)</v>
      </c>
      <c r="H746" s="46">
        <v>41912</v>
      </c>
      <c r="I746" s="13">
        <v>2014</v>
      </c>
      <c r="J746" s="16" t="s">
        <v>12</v>
      </c>
      <c r="K746" s="16" t="s">
        <v>62</v>
      </c>
      <c r="L746" s="3" t="s">
        <v>60</v>
      </c>
      <c r="M746" s="3" t="s">
        <v>71</v>
      </c>
      <c r="N746" s="3" t="s">
        <v>72</v>
      </c>
    </row>
    <row r="747" spans="1:14" x14ac:dyDescent="0.3">
      <c r="A747" s="36" t="s">
        <v>37</v>
      </c>
      <c r="B747" s="13">
        <v>111</v>
      </c>
      <c r="C747" s="48" t="str">
        <f t="shared" si="26"/>
        <v>P.L. 111-148</v>
      </c>
      <c r="D747" s="3" t="s">
        <v>1387</v>
      </c>
      <c r="E747" s="3" t="s">
        <v>1430</v>
      </c>
      <c r="F747" s="3" t="s">
        <v>1431</v>
      </c>
      <c r="G747" s="48" t="str">
        <f>HYPERLINK("https://uscode.house.gov/view.xhtml?req=granuleid:USC-prelim-title42-section204&amp;num=0&amp;edition=prelim", "42 U.S.C. 204")</f>
        <v>42 U.S.C. 204</v>
      </c>
      <c r="H747" s="46">
        <v>41912</v>
      </c>
      <c r="I747" s="13">
        <v>2014</v>
      </c>
      <c r="J747" s="47">
        <v>5000000</v>
      </c>
      <c r="K747" s="16" t="s">
        <v>62</v>
      </c>
      <c r="L747" s="3" t="s">
        <v>60</v>
      </c>
      <c r="M747" s="3" t="s">
        <v>71</v>
      </c>
      <c r="N747" s="3" t="s">
        <v>72</v>
      </c>
    </row>
    <row r="748" spans="1:14" x14ac:dyDescent="0.3">
      <c r="A748" s="36" t="s">
        <v>37</v>
      </c>
      <c r="B748" s="13">
        <v>111</v>
      </c>
      <c r="C748" s="48" t="str">
        <f t="shared" si="26"/>
        <v>P.L. 111-148</v>
      </c>
      <c r="D748" s="3" t="s">
        <v>1387</v>
      </c>
      <c r="E748" s="3" t="s">
        <v>1430</v>
      </c>
      <c r="F748" s="3" t="s">
        <v>1432</v>
      </c>
      <c r="G748" s="48" t="str">
        <f>HYPERLINK("https://uscode.house.gov/view.xhtml?req=granuleid:USC-prelim-title42-section204&amp;num=0&amp;edition=prelim", "42 U.S.C. 204")</f>
        <v>42 U.S.C. 204</v>
      </c>
      <c r="H748" s="46">
        <v>41912</v>
      </c>
      <c r="I748" s="13">
        <v>2014</v>
      </c>
      <c r="J748" s="47">
        <v>12500000</v>
      </c>
      <c r="K748" s="47">
        <v>6240000</v>
      </c>
      <c r="L748" s="3" t="s">
        <v>60</v>
      </c>
      <c r="M748" s="3" t="s">
        <v>71</v>
      </c>
      <c r="N748" s="3" t="s">
        <v>72</v>
      </c>
    </row>
    <row r="749" spans="1:14" x14ac:dyDescent="0.3">
      <c r="A749" s="36" t="s">
        <v>37</v>
      </c>
      <c r="B749" s="13">
        <v>111</v>
      </c>
      <c r="C749" s="48" t="str">
        <f t="shared" si="26"/>
        <v>P.L. 111-148</v>
      </c>
      <c r="D749" s="3" t="s">
        <v>1387</v>
      </c>
      <c r="E749" s="3" t="s">
        <v>1433</v>
      </c>
      <c r="F749" s="3" t="s">
        <v>1434</v>
      </c>
      <c r="G749" s="48" t="str">
        <f>HYPERLINK("https://uscode.house.gov/view.xhtml?req=granuleid:USC-prelim-title42-section293k-1&amp;num=0&amp;edition=prelim", "42 U.S.C. 293k-1(e)")</f>
        <v>42 U.S.C. 293k-1(e)</v>
      </c>
      <c r="H749" s="46">
        <v>41547</v>
      </c>
      <c r="I749" s="13">
        <v>2013</v>
      </c>
      <c r="J749" s="47">
        <v>10000000</v>
      </c>
      <c r="K749" s="16" t="s">
        <v>62</v>
      </c>
      <c r="L749" s="3" t="s">
        <v>60</v>
      </c>
      <c r="M749" s="3" t="s">
        <v>71</v>
      </c>
      <c r="N749" s="3" t="s">
        <v>72</v>
      </c>
    </row>
    <row r="750" spans="1:14" x14ac:dyDescent="0.3">
      <c r="A750" s="36" t="s">
        <v>37</v>
      </c>
      <c r="B750" s="13">
        <v>111</v>
      </c>
      <c r="C750" s="48" t="str">
        <f t="shared" si="26"/>
        <v>P.L. 111-148</v>
      </c>
      <c r="D750" s="3" t="s">
        <v>1387</v>
      </c>
      <c r="E750" s="3" t="s">
        <v>1435</v>
      </c>
      <c r="F750" s="3" t="s">
        <v>1436</v>
      </c>
      <c r="G750" s="48" t="str">
        <f>HYPERLINK("https://uscode.house.gov/view.xhtml?req=granuleid:USC-prelim-title42-section293e&amp;num=0&amp;edition=prelim", "42 U.S.C. 293e(d)")</f>
        <v>42 U.S.C. 293e(d)</v>
      </c>
      <c r="H750" s="46">
        <v>42277</v>
      </c>
      <c r="I750" s="13">
        <v>2015</v>
      </c>
      <c r="J750" s="16" t="s">
        <v>12</v>
      </c>
      <c r="K750" s="16" t="s">
        <v>62</v>
      </c>
      <c r="L750" s="3" t="s">
        <v>60</v>
      </c>
      <c r="M750" s="3" t="s">
        <v>71</v>
      </c>
      <c r="N750" s="3" t="s">
        <v>72</v>
      </c>
    </row>
    <row r="751" spans="1:14" x14ac:dyDescent="0.3">
      <c r="A751" s="36" t="s">
        <v>37</v>
      </c>
      <c r="B751" s="13">
        <v>111</v>
      </c>
      <c r="C751" s="48" t="str">
        <f t="shared" si="26"/>
        <v>P.L. 111-148</v>
      </c>
      <c r="D751" s="3" t="s">
        <v>1387</v>
      </c>
      <c r="E751" s="3" t="s">
        <v>1437</v>
      </c>
      <c r="F751" s="3" t="s">
        <v>1438</v>
      </c>
      <c r="G751" s="48" t="str">
        <f>HYPERLINK("https://uscode.house.gov/view.xhtml?req=granuleid:USC-prelim-title42-section296e-1&amp;num=0&amp;edition=prelim", "42 U.S.C. 296e-1(d)")</f>
        <v>42 U.S.C. 296e-1(d)</v>
      </c>
      <c r="H751" s="46">
        <v>42277</v>
      </c>
      <c r="I751" s="13">
        <v>2015</v>
      </c>
      <c r="J751" s="16" t="s">
        <v>12</v>
      </c>
      <c r="K751" s="16" t="s">
        <v>62</v>
      </c>
      <c r="L751" s="3" t="s">
        <v>60</v>
      </c>
      <c r="M751" s="3" t="s">
        <v>71</v>
      </c>
      <c r="N751" s="3" t="s">
        <v>72</v>
      </c>
    </row>
    <row r="752" spans="1:14" x14ac:dyDescent="0.3">
      <c r="A752" s="36" t="s">
        <v>37</v>
      </c>
      <c r="B752" s="13">
        <v>111</v>
      </c>
      <c r="C752" s="48" t="str">
        <f t="shared" si="26"/>
        <v>P.L. 111-148</v>
      </c>
      <c r="D752" s="3" t="s">
        <v>1387</v>
      </c>
      <c r="E752" s="3" t="s">
        <v>1439</v>
      </c>
      <c r="F752" s="3" t="s">
        <v>1440</v>
      </c>
      <c r="G752" s="48" t="str">
        <f>HYPERLINK("https://uscode.house.gov/view.xhtml?req=granuleid:USC-prelim-title42-section295f-3&amp;num=0&amp;edition=prelim", "42 U.S.C. 295f-3(f)")</f>
        <v>42 U.S.C. 295f-3(f)</v>
      </c>
      <c r="H752" s="46">
        <v>41547</v>
      </c>
      <c r="I752" s="13">
        <v>2013</v>
      </c>
      <c r="J752" s="47">
        <v>39500000</v>
      </c>
      <c r="K752" s="16" t="s">
        <v>62</v>
      </c>
      <c r="L752" s="3" t="s">
        <v>60</v>
      </c>
      <c r="M752" s="3" t="s">
        <v>71</v>
      </c>
      <c r="N752" s="3" t="s">
        <v>72</v>
      </c>
    </row>
    <row r="753" spans="1:14" x14ac:dyDescent="0.3">
      <c r="A753" s="36" t="s">
        <v>37</v>
      </c>
      <c r="B753" s="13">
        <v>111</v>
      </c>
      <c r="C753" s="48" t="str">
        <f t="shared" si="26"/>
        <v>P.L. 111-148</v>
      </c>
      <c r="D753" s="3" t="s">
        <v>1387</v>
      </c>
      <c r="E753" s="3" t="s">
        <v>1441</v>
      </c>
      <c r="F753" s="3" t="s">
        <v>1442</v>
      </c>
      <c r="G753" s="48" t="str">
        <f>HYPERLINK("https://uscode.house.gov/view.xhtml?req=granuleid:USC-prelim-title42-section280g-12&amp;num=0&amp;edition=prelim", "42 U.S.C. 280g-12")</f>
        <v>42 U.S.C. 280g-12</v>
      </c>
      <c r="H753" s="46">
        <v>41912</v>
      </c>
      <c r="I753" s="13">
        <v>2014</v>
      </c>
      <c r="J753" s="16" t="s">
        <v>12</v>
      </c>
      <c r="K753" s="16" t="s">
        <v>62</v>
      </c>
      <c r="L753" s="3" t="s">
        <v>60</v>
      </c>
      <c r="M753" s="3" t="s">
        <v>71</v>
      </c>
      <c r="N753" s="3" t="s">
        <v>72</v>
      </c>
    </row>
    <row r="754" spans="1:14" x14ac:dyDescent="0.3">
      <c r="A754" s="36" t="s">
        <v>37</v>
      </c>
      <c r="B754" s="13">
        <v>111</v>
      </c>
      <c r="C754" s="48" t="str">
        <f t="shared" si="26"/>
        <v>P.L. 111-148</v>
      </c>
      <c r="D754" s="3" t="s">
        <v>1387</v>
      </c>
      <c r="E754" s="3" t="s">
        <v>1443</v>
      </c>
      <c r="F754" s="3" t="s">
        <v>1444</v>
      </c>
      <c r="G754" s="48" t="str">
        <f>HYPERLINK("https://uscode.house.gov/view.xhtml?req=granuleid:USC-prelim-title36-section150303&amp;num=0&amp;edition=prelim", "36 U.S.C. 150303(note)")</f>
        <v>36 U.S.C. 150303(note)</v>
      </c>
      <c r="H754" s="46">
        <v>43373</v>
      </c>
      <c r="I754" s="13">
        <v>2018</v>
      </c>
      <c r="J754" s="47">
        <v>7500000</v>
      </c>
      <c r="K754" s="16" t="s">
        <v>62</v>
      </c>
      <c r="L754" s="3" t="s">
        <v>60</v>
      </c>
      <c r="M754" s="3" t="s">
        <v>71</v>
      </c>
      <c r="N754" s="3" t="s">
        <v>55</v>
      </c>
    </row>
    <row r="755" spans="1:14" x14ac:dyDescent="0.3">
      <c r="A755" s="36" t="s">
        <v>37</v>
      </c>
      <c r="B755" s="13">
        <v>111</v>
      </c>
      <c r="C755" s="48" t="str">
        <f t="shared" si="26"/>
        <v>P.L. 111-148</v>
      </c>
      <c r="D755" s="3" t="s">
        <v>1387</v>
      </c>
      <c r="E755" s="3" t="s">
        <v>1445</v>
      </c>
      <c r="F755" s="3" t="s">
        <v>1446</v>
      </c>
      <c r="G755" s="48" t="str">
        <f>HYPERLINK("https://uscode.house.gov/view.xhtml?req=granuleid:USC-prelim-title42-section1397m&amp;num=0&amp;edition=prelim", "42 U.S.C. 1397m(d)")</f>
        <v>42 U.S.C. 1397m(d)</v>
      </c>
      <c r="H755" s="46">
        <v>41912</v>
      </c>
      <c r="I755" s="13">
        <v>2014</v>
      </c>
      <c r="J755" s="47">
        <v>15000000</v>
      </c>
      <c r="K755" s="16" t="s">
        <v>62</v>
      </c>
      <c r="L755" s="3" t="s">
        <v>60</v>
      </c>
      <c r="M755" s="3" t="s">
        <v>71</v>
      </c>
      <c r="N755" s="3" t="s">
        <v>72</v>
      </c>
    </row>
    <row r="756" spans="1:14" x14ac:dyDescent="0.3">
      <c r="A756" s="36" t="s">
        <v>37</v>
      </c>
      <c r="B756" s="13">
        <v>111</v>
      </c>
      <c r="C756" s="48" t="str">
        <f t="shared" si="26"/>
        <v>P.L. 111-148</v>
      </c>
      <c r="D756" s="3" t="s">
        <v>1387</v>
      </c>
      <c r="E756" s="3" t="s">
        <v>1447</v>
      </c>
      <c r="F756" s="3" t="s">
        <v>1448</v>
      </c>
      <c r="G756" s="48" t="str">
        <f>HYPERLINK("https://uscode.house.gov/view.xhtml?req=granuleid:USC-prelim-title42-section1397m-1&amp;num=0&amp;edition=prelim", "42 U.S.C. 1397m-1(a)(2)")</f>
        <v>42 U.S.C. 1397m-1(a)(2)</v>
      </c>
      <c r="H756" s="46">
        <v>41912</v>
      </c>
      <c r="I756" s="13">
        <v>2014</v>
      </c>
      <c r="J756" s="47">
        <v>4000000</v>
      </c>
      <c r="K756" s="16" t="s">
        <v>62</v>
      </c>
      <c r="L756" s="3" t="s">
        <v>60</v>
      </c>
      <c r="M756" s="3" t="s">
        <v>418</v>
      </c>
      <c r="N756" s="3" t="s">
        <v>72</v>
      </c>
    </row>
    <row r="757" spans="1:14" x14ac:dyDescent="0.3">
      <c r="A757" s="36" t="s">
        <v>37</v>
      </c>
      <c r="B757" s="13">
        <v>111</v>
      </c>
      <c r="C757" s="48" t="str">
        <f t="shared" ref="C757:C778" si="27">HYPERLINK("https://uscode.house.gov/statutes/pl/111/148.pdf", "P.L. 111-148")</f>
        <v>P.L. 111-148</v>
      </c>
      <c r="D757" s="3" t="s">
        <v>1387</v>
      </c>
      <c r="E757" s="3" t="s">
        <v>1447</v>
      </c>
      <c r="F757" s="3" t="s">
        <v>1449</v>
      </c>
      <c r="G757" s="48" t="str">
        <f>HYPERLINK("https://uscode.house.gov/view.xhtml?req=granuleid:USC-prelim-title42-section1397m-2&amp;num=0&amp;edition=prelim", "42 U.S.C. 1397m-2(a)(2)")</f>
        <v>42 U.S.C. 1397m-2(a)(2)</v>
      </c>
      <c r="H757" s="46">
        <v>41912</v>
      </c>
      <c r="I757" s="13">
        <v>2014</v>
      </c>
      <c r="J757" s="47">
        <v>10000000</v>
      </c>
      <c r="K757" s="16" t="s">
        <v>62</v>
      </c>
      <c r="L757" s="3" t="s">
        <v>60</v>
      </c>
      <c r="M757" s="3" t="s">
        <v>71</v>
      </c>
      <c r="N757" s="3" t="s">
        <v>72</v>
      </c>
    </row>
    <row r="758" spans="1:14" x14ac:dyDescent="0.3">
      <c r="A758" s="36" t="s">
        <v>37</v>
      </c>
      <c r="B758" s="13">
        <v>111</v>
      </c>
      <c r="C758" s="48" t="str">
        <f t="shared" si="27"/>
        <v>P.L. 111-148</v>
      </c>
      <c r="D758" s="3" t="s">
        <v>1387</v>
      </c>
      <c r="E758" s="3" t="s">
        <v>1447</v>
      </c>
      <c r="F758" s="3" t="s">
        <v>1450</v>
      </c>
      <c r="G758" s="48" t="str">
        <f>HYPERLINK("https://uscode.house.gov/view.xhtml?req=granuleid:USC-prelim-title42-section1397m-2&amp;num=0&amp;edition=prelim", "42 U.S.C. 1397m-2(b)(2)")</f>
        <v>42 U.S.C. 1397m-2(b)(2)</v>
      </c>
      <c r="H758" s="46">
        <v>41912</v>
      </c>
      <c r="I758" s="13">
        <v>2014</v>
      </c>
      <c r="J758" s="47">
        <v>10000000</v>
      </c>
      <c r="K758" s="16" t="s">
        <v>62</v>
      </c>
      <c r="L758" s="3" t="s">
        <v>60</v>
      </c>
      <c r="M758" s="3" t="s">
        <v>71</v>
      </c>
      <c r="N758" s="3" t="s">
        <v>72</v>
      </c>
    </row>
    <row r="759" spans="1:14" x14ac:dyDescent="0.3">
      <c r="A759" s="36" t="s">
        <v>37</v>
      </c>
      <c r="B759" s="13">
        <v>111</v>
      </c>
      <c r="C759" s="48" t="str">
        <f t="shared" si="27"/>
        <v>P.L. 111-148</v>
      </c>
      <c r="D759" s="3" t="s">
        <v>1387</v>
      </c>
      <c r="E759" s="3" t="s">
        <v>1451</v>
      </c>
      <c r="F759" s="3" t="s">
        <v>1452</v>
      </c>
      <c r="G759" s="48" t="str">
        <f>HYPERLINK("https://uscode.house.gov/view.xhtml?req=granuleid:USC-prelim-title42-section256i&amp;num=0&amp;edition=prelim", "42 U.S.C. 256i")</f>
        <v>42 U.S.C. 256i</v>
      </c>
      <c r="H759" s="46">
        <v>42277</v>
      </c>
      <c r="I759" s="13">
        <v>2015</v>
      </c>
      <c r="J759" s="16" t="s">
        <v>12</v>
      </c>
      <c r="K759" s="16" t="s">
        <v>62</v>
      </c>
      <c r="L759" s="3" t="s">
        <v>60</v>
      </c>
      <c r="M759" s="3" t="s">
        <v>71</v>
      </c>
      <c r="N759" s="3" t="s">
        <v>72</v>
      </c>
    </row>
    <row r="760" spans="1:14" x14ac:dyDescent="0.3">
      <c r="A760" s="36" t="s">
        <v>37</v>
      </c>
      <c r="B760" s="13">
        <v>111</v>
      </c>
      <c r="C760" s="48" t="str">
        <f t="shared" si="27"/>
        <v>P.L. 111-148</v>
      </c>
      <c r="D760" s="3" t="s">
        <v>1387</v>
      </c>
      <c r="E760" s="3" t="s">
        <v>1453</v>
      </c>
      <c r="F760" s="3" t="s">
        <v>1454</v>
      </c>
      <c r="G760" s="48" t="str">
        <f>HYPERLINK("https://uscode.house.gov/view.xhtml?req=granuleid:USC-prelim-title42-section300u-6&amp;num=0&amp;edition=prelim", "42 U.S.C. 300u-6")</f>
        <v>42 U.S.C. 300u-6</v>
      </c>
      <c r="H760" s="46">
        <v>42643</v>
      </c>
      <c r="I760" s="13">
        <v>2016</v>
      </c>
      <c r="J760" s="16" t="s">
        <v>12</v>
      </c>
      <c r="K760" s="47">
        <v>74835000</v>
      </c>
      <c r="L760" s="3" t="s">
        <v>60</v>
      </c>
      <c r="M760" s="3" t="s">
        <v>71</v>
      </c>
      <c r="N760" s="3" t="s">
        <v>72</v>
      </c>
    </row>
    <row r="761" spans="1:14" x14ac:dyDescent="0.3">
      <c r="A761" s="36" t="s">
        <v>37</v>
      </c>
      <c r="B761" s="13">
        <v>111</v>
      </c>
      <c r="C761" s="48" t="str">
        <f t="shared" si="27"/>
        <v>P.L. 111-148</v>
      </c>
      <c r="D761" s="3" t="s">
        <v>1387</v>
      </c>
      <c r="E761" s="3" t="s">
        <v>1455</v>
      </c>
      <c r="F761" s="3" t="s">
        <v>1456</v>
      </c>
      <c r="G761" s="48" t="str">
        <f>HYPERLINK("https://uscode.house.gov/view.xhtml?req=granuleid:USC-prelim-title42-section280l&amp;num=0&amp;edition=prelim", "42 U.S.C. 280l(note)")</f>
        <v>42 U.S.C. 280l(note)</v>
      </c>
      <c r="H761" s="46">
        <v>42277</v>
      </c>
      <c r="I761" s="13">
        <v>2015</v>
      </c>
      <c r="J761" s="16" t="s">
        <v>12</v>
      </c>
      <c r="K761" s="16" t="s">
        <v>62</v>
      </c>
      <c r="L761" s="3" t="s">
        <v>60</v>
      </c>
      <c r="M761" s="3" t="s">
        <v>71</v>
      </c>
      <c r="N761" s="3" t="s">
        <v>72</v>
      </c>
    </row>
    <row r="762" spans="1:14" x14ac:dyDescent="0.3">
      <c r="A762" s="36" t="s">
        <v>37</v>
      </c>
      <c r="B762" s="13">
        <v>111</v>
      </c>
      <c r="C762" s="48" t="str">
        <f t="shared" si="27"/>
        <v>P.L. 111-148</v>
      </c>
      <c r="D762" s="3" t="s">
        <v>1387</v>
      </c>
      <c r="E762" s="3" t="s">
        <v>1457</v>
      </c>
      <c r="F762" s="3" t="s">
        <v>1458</v>
      </c>
      <c r="G762" s="49"/>
      <c r="H762" s="46">
        <v>44104</v>
      </c>
      <c r="I762" s="13">
        <v>2020</v>
      </c>
      <c r="J762" s="47">
        <v>150000000</v>
      </c>
      <c r="K762" s="16" t="s">
        <v>62</v>
      </c>
      <c r="L762" s="3" t="s">
        <v>60</v>
      </c>
      <c r="M762" s="3" t="s">
        <v>71</v>
      </c>
      <c r="N762" s="3" t="s">
        <v>72</v>
      </c>
    </row>
    <row r="763" spans="1:14" x14ac:dyDescent="0.3">
      <c r="A763" s="36" t="s">
        <v>37</v>
      </c>
      <c r="B763" s="13">
        <v>111</v>
      </c>
      <c r="C763" s="48" t="str">
        <f t="shared" si="27"/>
        <v>P.L. 111-148</v>
      </c>
      <c r="D763" s="3" t="s">
        <v>1387</v>
      </c>
      <c r="E763" s="3" t="s">
        <v>1459</v>
      </c>
      <c r="F763" s="3" t="s">
        <v>1460</v>
      </c>
      <c r="G763" s="48" t="str">
        <f>HYPERLINK("https://uscode.house.gov/view.xhtml?req=granuleid:USC-prelim-title42-section244&amp;num=0&amp;edition=prelim", "42 U.S.C. 244")</f>
        <v>42 U.S.C. 244</v>
      </c>
      <c r="H763" s="46">
        <v>41912</v>
      </c>
      <c r="I763" s="13">
        <v>2014</v>
      </c>
      <c r="J763" s="47">
        <v>25000000</v>
      </c>
      <c r="K763" s="16" t="s">
        <v>62</v>
      </c>
      <c r="L763" s="3" t="s">
        <v>60</v>
      </c>
      <c r="M763" s="3" t="s">
        <v>71</v>
      </c>
      <c r="N763" s="3" t="s">
        <v>72</v>
      </c>
    </row>
    <row r="764" spans="1:14" x14ac:dyDescent="0.3">
      <c r="A764" s="36" t="s">
        <v>37</v>
      </c>
      <c r="B764" s="13">
        <v>111</v>
      </c>
      <c r="C764" s="48" t="str">
        <f t="shared" si="27"/>
        <v>P.L. 111-148</v>
      </c>
      <c r="D764" s="3" t="s">
        <v>1387</v>
      </c>
      <c r="E764" s="3" t="s">
        <v>1461</v>
      </c>
      <c r="F764" s="3" t="s">
        <v>1462</v>
      </c>
      <c r="G764" s="48" t="str">
        <f>HYPERLINK("https://uscode.house.gov/view.xhtml?req=granuleid:USC-prelim-title42-section280g-14&amp;num=0&amp;edition=prelim", "42 U.S.C. 280g-14")</f>
        <v>42 U.S.C. 280g-14</v>
      </c>
      <c r="H764" s="46">
        <v>41912</v>
      </c>
      <c r="I764" s="13">
        <v>2014</v>
      </c>
      <c r="J764" s="16" t="s">
        <v>12</v>
      </c>
      <c r="K764" s="47">
        <v>37300000</v>
      </c>
      <c r="L764" s="3" t="s">
        <v>60</v>
      </c>
      <c r="M764" s="3" t="s">
        <v>71</v>
      </c>
      <c r="N764" s="3" t="s">
        <v>72</v>
      </c>
    </row>
    <row r="765" spans="1:14" x14ac:dyDescent="0.3">
      <c r="A765" s="36" t="s">
        <v>37</v>
      </c>
      <c r="B765" s="13">
        <v>111</v>
      </c>
      <c r="C765" s="48" t="str">
        <f t="shared" si="27"/>
        <v>P.L. 111-148</v>
      </c>
      <c r="D765" s="3" t="s">
        <v>1387</v>
      </c>
      <c r="E765" s="3" t="s">
        <v>1463</v>
      </c>
      <c r="F765" s="3" t="s">
        <v>1464</v>
      </c>
      <c r="G765" s="48" t="str">
        <f>HYPERLINK("https://uscode.house.gov/view.xhtml?req=granuleid:USC-prelim-title42-section293m&amp;num=0&amp;edition=prelim", "42 U.S.C. 293m")</f>
        <v>42 U.S.C. 293m</v>
      </c>
      <c r="H765" s="46">
        <v>41547</v>
      </c>
      <c r="I765" s="13">
        <v>2013</v>
      </c>
      <c r="J765" s="47">
        <v>4000000</v>
      </c>
      <c r="K765" s="16" t="s">
        <v>62</v>
      </c>
      <c r="L765" s="3" t="s">
        <v>60</v>
      </c>
      <c r="M765" s="3" t="s">
        <v>71</v>
      </c>
      <c r="N765" s="3" t="s">
        <v>72</v>
      </c>
    </row>
    <row r="766" spans="1:14" x14ac:dyDescent="0.3">
      <c r="A766" s="36" t="s">
        <v>37</v>
      </c>
      <c r="B766" s="13">
        <v>111</v>
      </c>
      <c r="C766" s="48" t="str">
        <f t="shared" si="27"/>
        <v>P.L. 111-148</v>
      </c>
      <c r="D766" s="3" t="s">
        <v>1387</v>
      </c>
      <c r="E766" s="3" t="s">
        <v>1465</v>
      </c>
      <c r="F766" s="3" t="s">
        <v>1466</v>
      </c>
      <c r="G766" s="48" t="str">
        <f>HYPERLINK("https://uscode.house.gov/view.xhtml?req=granuleid:USC-prelim-title42-section295e&amp;num=0&amp;edition=prelim", "42 U.S.C. 295e")</f>
        <v>42 U.S.C. 295e</v>
      </c>
      <c r="H766" s="46">
        <v>42277</v>
      </c>
      <c r="I766" s="13">
        <v>2015</v>
      </c>
      <c r="J766" s="16" t="s">
        <v>12</v>
      </c>
      <c r="K766" s="47">
        <v>18000000</v>
      </c>
      <c r="L766" s="3" t="s">
        <v>60</v>
      </c>
      <c r="M766" s="3" t="s">
        <v>71</v>
      </c>
      <c r="N766" s="3" t="s">
        <v>72</v>
      </c>
    </row>
    <row r="767" spans="1:14" x14ac:dyDescent="0.3">
      <c r="A767" s="36" t="s">
        <v>37</v>
      </c>
      <c r="B767" s="13">
        <v>111</v>
      </c>
      <c r="C767" s="48" t="str">
        <f t="shared" si="27"/>
        <v>P.L. 111-148</v>
      </c>
      <c r="D767" s="3" t="s">
        <v>1387</v>
      </c>
      <c r="E767" s="3" t="s">
        <v>1467</v>
      </c>
      <c r="F767" s="3" t="s">
        <v>1468</v>
      </c>
      <c r="G767" s="48" t="str">
        <f>HYPERLINK("https://uscode.house.gov/view.xhtml?req=granuleid:USC-prelim-title42-section280g-15&amp;num=0&amp;edition=prelim", "42 U.S.C. 280g-15(k)")</f>
        <v>42 U.S.C. 280g-15(k)</v>
      </c>
      <c r="H767" s="46">
        <v>42277</v>
      </c>
      <c r="I767" s="13">
        <v>2015</v>
      </c>
      <c r="J767" s="16" t="s">
        <v>12</v>
      </c>
      <c r="K767" s="16" t="s">
        <v>62</v>
      </c>
      <c r="L767" s="3" t="s">
        <v>60</v>
      </c>
      <c r="M767" s="3" t="s">
        <v>71</v>
      </c>
      <c r="N767" s="3" t="s">
        <v>72</v>
      </c>
    </row>
    <row r="768" spans="1:14" x14ac:dyDescent="0.3">
      <c r="A768" s="36" t="s">
        <v>37</v>
      </c>
      <c r="B768" s="13">
        <v>111</v>
      </c>
      <c r="C768" s="48" t="str">
        <f t="shared" si="27"/>
        <v>P.L. 111-148</v>
      </c>
      <c r="D768" s="3" t="s">
        <v>1387</v>
      </c>
      <c r="E768" s="3" t="s">
        <v>1469</v>
      </c>
      <c r="F768" s="3" t="s">
        <v>1470</v>
      </c>
      <c r="G768" s="48" t="str">
        <f>HYPERLINK("https://uscode.house.gov/view.xhtml?req=granuleid:USC-prelim-title25-section1667b&amp;num=0&amp;edition=prelim", "25 U.S.C. 1667b")</f>
        <v>25 U.S.C. 1667b</v>
      </c>
      <c r="H768" s="46">
        <v>41547</v>
      </c>
      <c r="I768" s="13">
        <v>2013</v>
      </c>
      <c r="J768" s="47">
        <v>1500000</v>
      </c>
      <c r="K768" s="16" t="s">
        <v>62</v>
      </c>
      <c r="L768" s="3" t="s">
        <v>47</v>
      </c>
      <c r="M768" s="3" t="s">
        <v>236</v>
      </c>
      <c r="N768" s="3" t="s">
        <v>72</v>
      </c>
    </row>
    <row r="769" spans="1:14" x14ac:dyDescent="0.3">
      <c r="A769" s="36" t="s">
        <v>37</v>
      </c>
      <c r="B769" s="13">
        <v>111</v>
      </c>
      <c r="C769" s="48" t="str">
        <f t="shared" si="27"/>
        <v>P.L. 111-148</v>
      </c>
      <c r="D769" s="3" t="s">
        <v>1387</v>
      </c>
      <c r="E769" s="3" t="s">
        <v>1471</v>
      </c>
      <c r="F769" s="3" t="s">
        <v>1472</v>
      </c>
      <c r="G769" s="48" t="str">
        <f>HYPERLINK("https://uscode.house.gov/view.xhtml?req=granuleid:USC-prelim-title25-section1667e&amp;num=0&amp;edition=prelim", "25 U.S.C. 1667e(e)")</f>
        <v>25 U.S.C. 1667e(e)</v>
      </c>
      <c r="H769" s="46">
        <v>41912</v>
      </c>
      <c r="I769" s="13">
        <v>2014</v>
      </c>
      <c r="J769" s="47">
        <v>1000000</v>
      </c>
      <c r="K769" s="47">
        <v>3931000</v>
      </c>
      <c r="L769" s="3" t="s">
        <v>47</v>
      </c>
      <c r="M769" s="3" t="s">
        <v>236</v>
      </c>
      <c r="N769" s="3" t="s">
        <v>72</v>
      </c>
    </row>
    <row r="770" spans="1:14" x14ac:dyDescent="0.3">
      <c r="A770" s="36" t="s">
        <v>37</v>
      </c>
      <c r="B770" s="13">
        <v>111</v>
      </c>
      <c r="C770" s="48" t="str">
        <f t="shared" si="27"/>
        <v>P.L. 111-148</v>
      </c>
      <c r="D770" s="3" t="s">
        <v>1387</v>
      </c>
      <c r="E770" s="3" t="s">
        <v>1473</v>
      </c>
      <c r="F770" s="3" t="s">
        <v>1474</v>
      </c>
      <c r="G770" s="48" t="str">
        <f>HYPERLINK("https://uscode.house.gov/view.xhtml?req=granuleid:USC-prelim-title42-section11705&amp;num=0&amp;edition=prelim", "42 U.S.C. 11705(h)(1)")</f>
        <v>42 U.S.C. 11705(h)(1)</v>
      </c>
      <c r="H770" s="46">
        <v>43738</v>
      </c>
      <c r="I770" s="13">
        <v>2019</v>
      </c>
      <c r="J770" s="16" t="s">
        <v>12</v>
      </c>
      <c r="K770" s="47">
        <v>27000000</v>
      </c>
      <c r="L770" s="3" t="s">
        <v>47</v>
      </c>
      <c r="M770" s="3" t="s">
        <v>236</v>
      </c>
      <c r="N770" s="3" t="s">
        <v>72</v>
      </c>
    </row>
    <row r="771" spans="1:14" x14ac:dyDescent="0.3">
      <c r="A771" s="36" t="s">
        <v>37</v>
      </c>
      <c r="B771" s="13">
        <v>111</v>
      </c>
      <c r="C771" s="48" t="str">
        <f t="shared" si="27"/>
        <v>P.L. 111-148</v>
      </c>
      <c r="D771" s="3" t="s">
        <v>1387</v>
      </c>
      <c r="E771" s="3" t="s">
        <v>1469</v>
      </c>
      <c r="F771" s="3" t="s">
        <v>1475</v>
      </c>
      <c r="G771" s="48" t="str">
        <f>HYPERLINK("https://uscode.house.gov/view.xhtml?req=granuleid:USC-prelim-title42-section11706&amp;num=0&amp;edition=prelim", "42 U.S.C. 11706(b)")</f>
        <v>42 U.S.C. 11706(b)</v>
      </c>
      <c r="H771" s="46">
        <v>43738</v>
      </c>
      <c r="I771" s="13">
        <v>2019</v>
      </c>
      <c r="J771" s="16" t="s">
        <v>12</v>
      </c>
      <c r="K771" s="47">
        <v>10000000</v>
      </c>
      <c r="L771" s="3" t="s">
        <v>47</v>
      </c>
      <c r="M771" s="3" t="s">
        <v>1096</v>
      </c>
      <c r="N771" s="3" t="s">
        <v>72</v>
      </c>
    </row>
    <row r="772" spans="1:14" x14ac:dyDescent="0.3">
      <c r="A772" s="36" t="s">
        <v>37</v>
      </c>
      <c r="B772" s="13">
        <v>111</v>
      </c>
      <c r="C772" s="48" t="str">
        <f t="shared" si="27"/>
        <v>P.L. 111-148</v>
      </c>
      <c r="D772" s="3" t="s">
        <v>1387</v>
      </c>
      <c r="E772" s="3" t="s">
        <v>1473</v>
      </c>
      <c r="F772" s="3" t="s">
        <v>1476</v>
      </c>
      <c r="G772" s="48" t="str">
        <f>HYPERLINK("https://uscode.house.gov/view.xhtml?req=granuleid:USC-prelim-title42-section11709&amp;num=0&amp;edition=prelim", "42 U.S.C. 11709(c)")</f>
        <v>42 U.S.C. 11709(c)</v>
      </c>
      <c r="H772" s="46">
        <v>43738</v>
      </c>
      <c r="I772" s="13">
        <v>2019</v>
      </c>
      <c r="J772" s="16" t="s">
        <v>12</v>
      </c>
      <c r="K772" s="16" t="s">
        <v>62</v>
      </c>
      <c r="L772" s="3" t="s">
        <v>47</v>
      </c>
      <c r="M772" s="3" t="s">
        <v>1096</v>
      </c>
      <c r="N772" s="3" t="s">
        <v>72</v>
      </c>
    </row>
    <row r="773" spans="1:14" x14ac:dyDescent="0.3">
      <c r="A773" s="36" t="s">
        <v>37</v>
      </c>
      <c r="B773" s="13">
        <v>111</v>
      </c>
      <c r="C773" s="48" t="str">
        <f t="shared" si="27"/>
        <v>P.L. 111-148</v>
      </c>
      <c r="D773" s="3" t="s">
        <v>1387</v>
      </c>
      <c r="E773" s="3" t="s">
        <v>1477</v>
      </c>
      <c r="F773" s="3" t="s">
        <v>1478</v>
      </c>
      <c r="G773" s="48" t="str">
        <f>HYPERLINK("https://uscode.house.gov/view.xhtml?req=granuleid:USC-prelim-title42-section1395i-4&amp;num=0&amp;edition=prelim", "42 U.S.C. 1395i-4(j)")</f>
        <v>42 U.S.C. 1395i-4(j)</v>
      </c>
      <c r="H773" s="46">
        <v>41182</v>
      </c>
      <c r="I773" s="13">
        <v>2012</v>
      </c>
      <c r="J773" s="16" t="s">
        <v>12</v>
      </c>
      <c r="K773" s="47">
        <v>64277000</v>
      </c>
      <c r="L773" s="3" t="s">
        <v>60</v>
      </c>
      <c r="M773" s="3" t="s">
        <v>71</v>
      </c>
      <c r="N773" s="3" t="s">
        <v>72</v>
      </c>
    </row>
    <row r="774" spans="1:14" x14ac:dyDescent="0.3">
      <c r="A774" s="36" t="s">
        <v>37</v>
      </c>
      <c r="B774" s="13">
        <v>111</v>
      </c>
      <c r="C774" s="48" t="str">
        <f t="shared" si="27"/>
        <v>P.L. 111-148</v>
      </c>
      <c r="D774" s="3" t="s">
        <v>1387</v>
      </c>
      <c r="E774" s="3" t="s">
        <v>1479</v>
      </c>
      <c r="F774" s="3" t="s">
        <v>1480</v>
      </c>
      <c r="G774" s="48" t="str">
        <f>HYPERLINK("https://uscode.house.gov/view.xhtml?req=granuleid:USC-prelim-title42-section296j-1&amp;num=0&amp;edition=prelim", "42 U.S.C. 296j-1(i)")</f>
        <v>42 U.S.C. 296j-1(i)</v>
      </c>
      <c r="H774" s="46">
        <v>41912</v>
      </c>
      <c r="I774" s="13">
        <v>2014</v>
      </c>
      <c r="J774" s="16" t="s">
        <v>12</v>
      </c>
      <c r="K774" s="16" t="s">
        <v>62</v>
      </c>
      <c r="L774" s="3" t="s">
        <v>60</v>
      </c>
      <c r="M774" s="3" t="s">
        <v>71</v>
      </c>
      <c r="N774" s="3" t="s">
        <v>72</v>
      </c>
    </row>
    <row r="775" spans="1:14" x14ac:dyDescent="0.3">
      <c r="A775" s="36" t="s">
        <v>37</v>
      </c>
      <c r="B775" s="13">
        <v>111</v>
      </c>
      <c r="C775" s="48" t="str">
        <f t="shared" si="27"/>
        <v>P.L. 111-148</v>
      </c>
      <c r="D775" s="3" t="s">
        <v>1387</v>
      </c>
      <c r="E775" s="3" t="s">
        <v>1447</v>
      </c>
      <c r="F775" s="3" t="s">
        <v>1481</v>
      </c>
      <c r="G775" s="48" t="str">
        <f>HYPERLINK("https://uscode.house.gov/view.xhtml?req=granuleid:USC-prelim-title42-section1397m-1&amp;num=0&amp;edition=prelim", "42 U.S.C. 1397m-1(b)(5)")</f>
        <v>42 U.S.C. 1397m-1(b)(5)</v>
      </c>
      <c r="H775" s="46">
        <v>41912</v>
      </c>
      <c r="I775" s="13">
        <v>2014</v>
      </c>
      <c r="J775" s="47">
        <v>100000000</v>
      </c>
      <c r="K775" s="16" t="s">
        <v>62</v>
      </c>
      <c r="L775" s="3" t="s">
        <v>60</v>
      </c>
      <c r="M775" s="3" t="s">
        <v>71</v>
      </c>
      <c r="N775" s="3" t="s">
        <v>72</v>
      </c>
    </row>
    <row r="776" spans="1:14" x14ac:dyDescent="0.3">
      <c r="A776" s="36" t="s">
        <v>37</v>
      </c>
      <c r="B776" s="13">
        <v>111</v>
      </c>
      <c r="C776" s="48" t="str">
        <f t="shared" si="27"/>
        <v>P.L. 111-148</v>
      </c>
      <c r="D776" s="3" t="s">
        <v>1387</v>
      </c>
      <c r="E776" s="3" t="s">
        <v>1447</v>
      </c>
      <c r="F776" s="3" t="s">
        <v>1482</v>
      </c>
      <c r="G776" s="48" t="str">
        <f>HYPERLINK("https://uscode.house.gov/view.xhtml?req=granuleid:USC-prelim-title42-section1397m-1&amp;num=0&amp;edition=prelim", "42 U.S.C. 1397m-1(c)(6)")</f>
        <v>42 U.S.C. 1397m-1(c)(6)</v>
      </c>
      <c r="H776" s="46">
        <v>44104</v>
      </c>
      <c r="I776" s="13">
        <v>2020</v>
      </c>
      <c r="J776" s="47">
        <v>25000000</v>
      </c>
      <c r="K776" s="16" t="s">
        <v>62</v>
      </c>
      <c r="L776" s="3" t="s">
        <v>60</v>
      </c>
      <c r="M776" s="3" t="s">
        <v>71</v>
      </c>
      <c r="N776" s="3" t="s">
        <v>72</v>
      </c>
    </row>
    <row r="777" spans="1:14" x14ac:dyDescent="0.3">
      <c r="A777" s="36" t="s">
        <v>37</v>
      </c>
      <c r="B777" s="13">
        <v>111</v>
      </c>
      <c r="C777" s="48" t="str">
        <f t="shared" si="27"/>
        <v>P.L. 111-148</v>
      </c>
      <c r="D777" s="3" t="s">
        <v>1387</v>
      </c>
      <c r="E777" s="3" t="s">
        <v>1483</v>
      </c>
      <c r="F777" s="3" t="s">
        <v>1484</v>
      </c>
      <c r="G777" s="48" t="str">
        <f>HYPERLINK("https://uscode.house.gov/view.xhtml?req=granuleid:USC-prelim-title42-section247b-14&amp;num=0&amp;edition=prelim", "42 U.S.C. 247b-14(d)(2)")</f>
        <v>42 U.S.C. 247b-14(d)(2)</v>
      </c>
      <c r="H777" s="46">
        <v>41912</v>
      </c>
      <c r="I777" s="13">
        <v>2014</v>
      </c>
      <c r="J777" s="16" t="s">
        <v>12</v>
      </c>
      <c r="K777" s="16" t="s">
        <v>62</v>
      </c>
      <c r="L777" s="3" t="s">
        <v>60</v>
      </c>
      <c r="M777" s="3" t="s">
        <v>71</v>
      </c>
      <c r="N777" s="3" t="s">
        <v>72</v>
      </c>
    </row>
    <row r="778" spans="1:14" x14ac:dyDescent="0.3">
      <c r="A778" s="36" t="s">
        <v>37</v>
      </c>
      <c r="B778" s="13">
        <v>111</v>
      </c>
      <c r="C778" s="48" t="str">
        <f t="shared" si="27"/>
        <v>P.L. 111-148</v>
      </c>
      <c r="D778" s="3" t="s">
        <v>1387</v>
      </c>
      <c r="E778" s="3" t="s">
        <v>1485</v>
      </c>
      <c r="F778" s="3" t="s">
        <v>1486</v>
      </c>
      <c r="G778" s="48" t="str">
        <f>HYPERLINK("https://uscode.house.gov/view.xhtml?req=granuleid:USC-prelim-title42-section280k-3&amp;num=0&amp;edition=prelim", "42 U.S.C. 280k-3(4)(A)")</f>
        <v>42 U.S.C. 280k-3(4)(A)</v>
      </c>
      <c r="H778" s="46">
        <v>41912</v>
      </c>
      <c r="I778" s="13">
        <v>2014</v>
      </c>
      <c r="J778" s="16" t="s">
        <v>12</v>
      </c>
      <c r="K778" s="16" t="s">
        <v>62</v>
      </c>
      <c r="L778" s="3" t="s">
        <v>60</v>
      </c>
      <c r="M778" s="3" t="s">
        <v>71</v>
      </c>
      <c r="N778" s="3" t="s">
        <v>72</v>
      </c>
    </row>
    <row r="779" spans="1:14" x14ac:dyDescent="0.3">
      <c r="A779" s="36" t="s">
        <v>37</v>
      </c>
      <c r="B779" s="13">
        <v>111</v>
      </c>
      <c r="C779" s="48" t="str">
        <f>HYPERLINK("https://uscode.house.gov/statutes/pl/111/13.pdf", "P.L. 111-13")</f>
        <v>P.L. 111-13</v>
      </c>
      <c r="D779" s="3" t="s">
        <v>1331</v>
      </c>
      <c r="E779" s="3" t="s">
        <v>1341</v>
      </c>
      <c r="F779" s="3" t="s">
        <v>1345</v>
      </c>
      <c r="G779" s="48" t="str">
        <f>HYPERLINK("https://uscode.house.gov/view.xhtml?req=granuleid:USC-prelim-title42-section5082&amp;num=0&amp;edition=prelim", "42 U.S.C. 5082(d)")</f>
        <v>42 U.S.C. 5082(d)</v>
      </c>
      <c r="H779" s="46">
        <v>41912</v>
      </c>
      <c r="I779" s="13">
        <v>2014</v>
      </c>
      <c r="J779" s="16" t="s">
        <v>12</v>
      </c>
      <c r="K779" s="16" t="s">
        <v>62</v>
      </c>
      <c r="L779" s="3" t="s">
        <v>130</v>
      </c>
      <c r="M779" s="3" t="s">
        <v>71</v>
      </c>
      <c r="N779" s="3" t="s">
        <v>72</v>
      </c>
    </row>
    <row r="780" spans="1:14" x14ac:dyDescent="0.3">
      <c r="A780" s="36" t="s">
        <v>37</v>
      </c>
      <c r="B780" s="13">
        <v>111</v>
      </c>
      <c r="C780" s="48" t="str">
        <f>HYPERLINK("https://uscode.house.gov/statutes/pl/111/163.pdf", "P.L. 111-163")</f>
        <v>P.L. 111-163</v>
      </c>
      <c r="D780" s="3" t="s">
        <v>1490</v>
      </c>
      <c r="E780" s="3" t="s">
        <v>1020</v>
      </c>
      <c r="F780" s="3" t="s">
        <v>1491</v>
      </c>
      <c r="G780" s="48" t="str">
        <f>HYPERLINK("https://uscode.house.gov/view.xhtml?req=granuleid:USC-prelim-title38-section7311A&amp;num=0&amp;edition=prelim", "38 U.S.C. 7311A(d)")</f>
        <v>38 U.S.C. 7311A(d)</v>
      </c>
      <c r="H780" s="46">
        <v>41182</v>
      </c>
      <c r="I780" s="13">
        <v>2012</v>
      </c>
      <c r="J780" s="47">
        <v>25000000</v>
      </c>
      <c r="K780" s="16" t="s">
        <v>62</v>
      </c>
      <c r="L780" s="3" t="s">
        <v>265</v>
      </c>
      <c r="M780" s="3" t="s">
        <v>266</v>
      </c>
      <c r="N780" s="3" t="s">
        <v>267</v>
      </c>
    </row>
    <row r="781" spans="1:14" x14ac:dyDescent="0.3">
      <c r="A781" s="36" t="s">
        <v>37</v>
      </c>
      <c r="B781" s="13">
        <v>111</v>
      </c>
      <c r="C781" s="48" t="str">
        <f>HYPERLINK("https://uscode.house.gov/statutes/pl/111/171.pdf", "P.L. 111-171")</f>
        <v>P.L. 111-171</v>
      </c>
      <c r="D781" s="3" t="s">
        <v>1492</v>
      </c>
      <c r="E781" s="3" t="s">
        <v>1493</v>
      </c>
      <c r="F781" s="3" t="s">
        <v>1494</v>
      </c>
      <c r="G781" s="49"/>
      <c r="H781" s="46">
        <v>44104</v>
      </c>
      <c r="I781" s="13">
        <v>2020</v>
      </c>
      <c r="J781" s="47">
        <v>750000</v>
      </c>
      <c r="K781" s="16" t="s">
        <v>62</v>
      </c>
      <c r="L781" s="3" t="s">
        <v>41</v>
      </c>
      <c r="M781" s="3" t="s">
        <v>230</v>
      </c>
      <c r="N781" s="3" t="s">
        <v>122</v>
      </c>
    </row>
    <row r="782" spans="1:14" x14ac:dyDescent="0.3">
      <c r="A782" s="36" t="s">
        <v>37</v>
      </c>
      <c r="B782" s="13">
        <v>111</v>
      </c>
      <c r="C782" s="48" t="str">
        <f>HYPERLINK("https://uscode.house.gov/statutes/pl/111/195.pdf", "P.L. 111-195")</f>
        <v>P.L. 111-195</v>
      </c>
      <c r="D782" s="3" t="s">
        <v>1495</v>
      </c>
      <c r="E782" s="3" t="s">
        <v>1496</v>
      </c>
      <c r="F782" s="3" t="s">
        <v>1497</v>
      </c>
      <c r="G782" s="48" t="str">
        <f>HYPERLINK("https://uscode.house.gov/view.xhtml?req=granuleid:USC-prelim-title22-section8517&amp;num=0&amp;edition=prelim", "22 U.S.C. 8517(b)")</f>
        <v>22 U.S.C. 8517(b)</v>
      </c>
      <c r="H782" s="46">
        <v>41547</v>
      </c>
      <c r="I782" s="13">
        <v>2013</v>
      </c>
      <c r="J782" s="16" t="s">
        <v>12</v>
      </c>
      <c r="K782" s="47">
        <v>216059000</v>
      </c>
      <c r="L782" s="3" t="s">
        <v>156</v>
      </c>
      <c r="M782" s="3" t="s">
        <v>157</v>
      </c>
      <c r="N782" s="3" t="s">
        <v>55</v>
      </c>
    </row>
    <row r="783" spans="1:14" x14ac:dyDescent="0.3">
      <c r="A783" s="36" t="s">
        <v>37</v>
      </c>
      <c r="B783" s="13">
        <v>111</v>
      </c>
      <c r="C783" s="48" t="str">
        <f>HYPERLINK("https://uscode.house.gov/statutes/pl/111/195.pdf", "P.L. 111-195")</f>
        <v>P.L. 111-195</v>
      </c>
      <c r="D783" s="3" t="s">
        <v>1495</v>
      </c>
      <c r="E783" s="3" t="s">
        <v>1498</v>
      </c>
      <c r="F783" s="3" t="s">
        <v>1499</v>
      </c>
      <c r="G783" s="48" t="str">
        <f>HYPERLINK("https://uscode.house.gov/view.xhtml?req=granuleid:USC-prelim-title22-section8517&amp;num=0&amp;edition=prelim", "22 U.S.C. 8517(d)")</f>
        <v>22 U.S.C. 8517(d)</v>
      </c>
      <c r="H783" s="46">
        <v>41547</v>
      </c>
      <c r="I783" s="13">
        <v>2013</v>
      </c>
      <c r="J783" s="16" t="s">
        <v>12</v>
      </c>
      <c r="K783" s="47">
        <v>191000000</v>
      </c>
      <c r="L783" s="3" t="s">
        <v>60</v>
      </c>
      <c r="M783" s="3" t="s">
        <v>157</v>
      </c>
      <c r="N783" s="3" t="s">
        <v>43</v>
      </c>
    </row>
    <row r="784" spans="1:14" x14ac:dyDescent="0.3">
      <c r="A784" s="36" t="s">
        <v>37</v>
      </c>
      <c r="B784" s="13">
        <v>111</v>
      </c>
      <c r="C784" s="48" t="str">
        <f t="shared" ref="C784:C789" si="28">HYPERLINK("https://uscode.house.gov/statutes/pl/111/203.pdf", "P.L. 111-203")</f>
        <v>P.L. 111-203</v>
      </c>
      <c r="D784" s="3" t="s">
        <v>1500</v>
      </c>
      <c r="E784" s="3" t="s">
        <v>1501</v>
      </c>
      <c r="F784" s="3" t="s">
        <v>1502</v>
      </c>
      <c r="G784" s="49"/>
      <c r="H784" s="46">
        <v>42277</v>
      </c>
      <c r="I784" s="13">
        <v>2015</v>
      </c>
      <c r="J784" s="47">
        <v>8000000</v>
      </c>
      <c r="K784" s="16" t="s">
        <v>62</v>
      </c>
      <c r="L784" s="3" t="s">
        <v>156</v>
      </c>
      <c r="M784" s="3" t="s">
        <v>157</v>
      </c>
      <c r="N784" s="3" t="s">
        <v>55</v>
      </c>
    </row>
    <row r="785" spans="1:14" x14ac:dyDescent="0.3">
      <c r="A785" s="36" t="s">
        <v>37</v>
      </c>
      <c r="B785" s="13">
        <v>111</v>
      </c>
      <c r="C785" s="48" t="str">
        <f t="shared" si="28"/>
        <v>P.L. 111-203</v>
      </c>
      <c r="D785" s="3" t="s">
        <v>1500</v>
      </c>
      <c r="E785" s="3" t="s">
        <v>1503</v>
      </c>
      <c r="F785" s="3" t="s">
        <v>1504</v>
      </c>
      <c r="G785" s="48" t="str">
        <f>HYPERLINK("https://uscode.house.gov/view.xhtml?req=granuleid:USC-prelim-title15-section78kk&amp;num=0&amp;edition=prelim", "15 U.S.C. 78kk")</f>
        <v>15 U.S.C. 78kk</v>
      </c>
      <c r="H785" s="46">
        <v>42277</v>
      </c>
      <c r="I785" s="13">
        <v>2015</v>
      </c>
      <c r="J785" s="47">
        <v>2250000000</v>
      </c>
      <c r="K785" s="47">
        <v>2209770000</v>
      </c>
      <c r="L785" s="3" t="s">
        <v>156</v>
      </c>
      <c r="M785" s="3" t="s">
        <v>157</v>
      </c>
      <c r="N785" s="3" t="s">
        <v>55</v>
      </c>
    </row>
    <row r="786" spans="1:14" x14ac:dyDescent="0.3">
      <c r="A786" s="36" t="s">
        <v>37</v>
      </c>
      <c r="B786" s="13">
        <v>111</v>
      </c>
      <c r="C786" s="48" t="str">
        <f t="shared" si="28"/>
        <v>P.L. 111-203</v>
      </c>
      <c r="D786" s="3" t="s">
        <v>1500</v>
      </c>
      <c r="E786" s="3" t="s">
        <v>1505</v>
      </c>
      <c r="F786" s="3" t="s">
        <v>1506</v>
      </c>
      <c r="G786" s="49"/>
      <c r="H786" s="46">
        <v>41912</v>
      </c>
      <c r="I786" s="13">
        <v>2014</v>
      </c>
      <c r="J786" s="47">
        <v>200000000</v>
      </c>
      <c r="K786" s="16" t="s">
        <v>62</v>
      </c>
      <c r="L786" s="3" t="s">
        <v>156</v>
      </c>
      <c r="M786" s="3" t="s">
        <v>157</v>
      </c>
      <c r="N786" s="3" t="s">
        <v>55</v>
      </c>
    </row>
    <row r="787" spans="1:14" x14ac:dyDescent="0.3">
      <c r="A787" s="36" t="s">
        <v>37</v>
      </c>
      <c r="B787" s="13">
        <v>111</v>
      </c>
      <c r="C787" s="48" t="str">
        <f t="shared" si="28"/>
        <v>P.L. 111-203</v>
      </c>
      <c r="D787" s="3" t="s">
        <v>1500</v>
      </c>
      <c r="E787" s="3" t="s">
        <v>1507</v>
      </c>
      <c r="F787" s="3" t="s">
        <v>1508</v>
      </c>
      <c r="G787" s="49"/>
      <c r="H787" s="46">
        <v>40816</v>
      </c>
      <c r="I787" s="13">
        <v>2011</v>
      </c>
      <c r="J787" s="47">
        <v>3000000</v>
      </c>
      <c r="K787" s="16" t="s">
        <v>62</v>
      </c>
      <c r="L787" s="3" t="s">
        <v>156</v>
      </c>
      <c r="M787" s="3" t="s">
        <v>157</v>
      </c>
      <c r="N787" s="3" t="s">
        <v>158</v>
      </c>
    </row>
    <row r="788" spans="1:14" x14ac:dyDescent="0.3">
      <c r="A788" s="36" t="s">
        <v>37</v>
      </c>
      <c r="B788" s="13">
        <v>111</v>
      </c>
      <c r="C788" s="48" t="str">
        <f t="shared" si="28"/>
        <v>P.L. 111-203</v>
      </c>
      <c r="D788" s="3" t="s">
        <v>1500</v>
      </c>
      <c r="E788" s="3" t="s">
        <v>1509</v>
      </c>
      <c r="F788" s="3" t="s">
        <v>1510</v>
      </c>
      <c r="G788" s="49"/>
      <c r="H788" s="46">
        <v>41182</v>
      </c>
      <c r="I788" s="13">
        <v>2012</v>
      </c>
      <c r="J788" s="47">
        <v>45000000</v>
      </c>
      <c r="K788" s="47">
        <v>57500000</v>
      </c>
      <c r="L788" s="3" t="s">
        <v>156</v>
      </c>
      <c r="M788" s="3" t="s">
        <v>157</v>
      </c>
      <c r="N788" s="3" t="s">
        <v>158</v>
      </c>
    </row>
    <row r="789" spans="1:14" x14ac:dyDescent="0.3">
      <c r="A789" s="36" t="s">
        <v>37</v>
      </c>
      <c r="B789" s="13">
        <v>111</v>
      </c>
      <c r="C789" s="48" t="str">
        <f t="shared" si="28"/>
        <v>P.L. 111-203</v>
      </c>
      <c r="D789" s="3" t="s">
        <v>1500</v>
      </c>
      <c r="E789" s="3" t="s">
        <v>1511</v>
      </c>
      <c r="F789" s="3" t="s">
        <v>1512</v>
      </c>
      <c r="G789" s="49"/>
      <c r="H789" s="46">
        <v>41182</v>
      </c>
      <c r="I789" s="13">
        <v>2012</v>
      </c>
      <c r="J789" s="47">
        <v>35000000</v>
      </c>
      <c r="K789" s="16" t="s">
        <v>62</v>
      </c>
      <c r="L789" s="3" t="s">
        <v>156</v>
      </c>
      <c r="M789" s="3" t="s">
        <v>157</v>
      </c>
      <c r="N789" s="3" t="s">
        <v>158</v>
      </c>
    </row>
    <row r="790" spans="1:14" x14ac:dyDescent="0.3">
      <c r="A790" s="36" t="s">
        <v>37</v>
      </c>
      <c r="B790" s="13">
        <v>111</v>
      </c>
      <c r="C790" s="48" t="str">
        <f t="shared" ref="C790:C806" si="29">HYPERLINK("https://uscode.house.gov/statutes/pl/111/211.pdf", "P.L. 111-211")</f>
        <v>P.L. 111-211</v>
      </c>
      <c r="D790" s="3" t="s">
        <v>1513</v>
      </c>
      <c r="E790" s="3" t="s">
        <v>1514</v>
      </c>
      <c r="F790" s="3" t="s">
        <v>1515</v>
      </c>
      <c r="G790" s="48" t="str">
        <f>HYPERLINK("https://uscode.house.gov/view.xhtml?req=granuleid:USC-prelim-title25-section2412&amp;num=0&amp;edition=prelim", "25 U.S.C. 2412(d)(2)")</f>
        <v>25 U.S.C. 2412(d)(2)</v>
      </c>
      <c r="H790" s="46">
        <v>42277</v>
      </c>
      <c r="I790" s="13">
        <v>2015</v>
      </c>
      <c r="J790" s="47">
        <v>2000000</v>
      </c>
      <c r="K790" s="16" t="s">
        <v>62</v>
      </c>
      <c r="L790" s="3" t="s">
        <v>47</v>
      </c>
      <c r="M790" s="3" t="s">
        <v>236</v>
      </c>
      <c r="N790" s="3" t="s">
        <v>49</v>
      </c>
    </row>
    <row r="791" spans="1:14" x14ac:dyDescent="0.3">
      <c r="A791" s="36" t="s">
        <v>37</v>
      </c>
      <c r="B791" s="13">
        <v>111</v>
      </c>
      <c r="C791" s="48" t="str">
        <f t="shared" si="29"/>
        <v>P.L. 111-211</v>
      </c>
      <c r="D791" s="3" t="s">
        <v>1513</v>
      </c>
      <c r="E791" s="3" t="s">
        <v>1514</v>
      </c>
      <c r="F791" s="3" t="s">
        <v>1516</v>
      </c>
      <c r="G791" s="48" t="str">
        <f>HYPERLINK("https://uscode.house.gov/view.xhtml?req=granuleid:USC-prelim-title25-section2412&amp;num=0&amp;edition=prelim", "25 U.S.C. 2412(f)(3)")</f>
        <v>25 U.S.C. 2412(f)(3)</v>
      </c>
      <c r="H791" s="46">
        <v>42277</v>
      </c>
      <c r="I791" s="13">
        <v>2015</v>
      </c>
      <c r="J791" s="47">
        <v>5000000</v>
      </c>
      <c r="K791" s="16" t="s">
        <v>62</v>
      </c>
      <c r="L791" s="3" t="s">
        <v>47</v>
      </c>
      <c r="M791" s="3" t="s">
        <v>236</v>
      </c>
      <c r="N791" s="3" t="s">
        <v>49</v>
      </c>
    </row>
    <row r="792" spans="1:14" x14ac:dyDescent="0.3">
      <c r="A792" s="36" t="s">
        <v>37</v>
      </c>
      <c r="B792" s="13">
        <v>111</v>
      </c>
      <c r="C792" s="48" t="str">
        <f t="shared" si="29"/>
        <v>P.L. 111-211</v>
      </c>
      <c r="D792" s="3" t="s">
        <v>1513</v>
      </c>
      <c r="E792" s="3" t="s">
        <v>1517</v>
      </c>
      <c r="F792" s="3" t="s">
        <v>1518</v>
      </c>
      <c r="G792" s="48" t="str">
        <f>HYPERLINK("https://uscode.house.gov/view.xhtml?req=granuleid:USC-prelim-title25-section2432&amp;num=0&amp;edition=prelim", "25 U.S.C. 2432")</f>
        <v>25 U.S.C. 2432</v>
      </c>
      <c r="H792" s="46">
        <v>42277</v>
      </c>
      <c r="I792" s="13">
        <v>2015</v>
      </c>
      <c r="J792" s="47">
        <v>5000000</v>
      </c>
      <c r="K792" s="16" t="s">
        <v>62</v>
      </c>
      <c r="L792" s="3" t="s">
        <v>47</v>
      </c>
      <c r="M792" s="3" t="s">
        <v>236</v>
      </c>
      <c r="N792" s="3" t="s">
        <v>72</v>
      </c>
    </row>
    <row r="793" spans="1:14" x14ac:dyDescent="0.3">
      <c r="A793" s="36" t="s">
        <v>37</v>
      </c>
      <c r="B793" s="13">
        <v>111</v>
      </c>
      <c r="C793" s="48" t="str">
        <f t="shared" si="29"/>
        <v>P.L. 111-211</v>
      </c>
      <c r="D793" s="3" t="s">
        <v>1513</v>
      </c>
      <c r="E793" s="3" t="s">
        <v>1519</v>
      </c>
      <c r="F793" s="3" t="s">
        <v>1520</v>
      </c>
      <c r="G793" s="48" t="str">
        <f>HYPERLINK("https://uscode.house.gov/view.xhtml?req=granuleid:USC-prelim-title25-section2433&amp;num=0&amp;edition=prelim", "25 U.S.C. 2433(e)")</f>
        <v>25 U.S.C. 2433(e)</v>
      </c>
      <c r="H793" s="46">
        <v>42277</v>
      </c>
      <c r="I793" s="13">
        <v>2015</v>
      </c>
      <c r="J793" s="47">
        <v>10000000</v>
      </c>
      <c r="K793" s="16" t="s">
        <v>62</v>
      </c>
      <c r="L793" s="3" t="s">
        <v>47</v>
      </c>
      <c r="M793" s="3" t="s">
        <v>236</v>
      </c>
      <c r="N793" s="3" t="s">
        <v>49</v>
      </c>
    </row>
    <row r="794" spans="1:14" x14ac:dyDescent="0.3">
      <c r="A794" s="36" t="s">
        <v>37</v>
      </c>
      <c r="B794" s="13">
        <v>111</v>
      </c>
      <c r="C794" s="48" t="str">
        <f t="shared" si="29"/>
        <v>P.L. 111-211</v>
      </c>
      <c r="D794" s="3" t="s">
        <v>1513</v>
      </c>
      <c r="E794" s="3" t="s">
        <v>1519</v>
      </c>
      <c r="F794" s="3" t="s">
        <v>1521</v>
      </c>
      <c r="G794" s="48" t="str">
        <f>HYPERLINK("https://uscode.house.gov/view.xhtml?req=granuleid:USC-prelim-title25-section2433&amp;num=0&amp;edition=prelim", "25 U.S.C. 2433(e)(2)")</f>
        <v>25 U.S.C. 2433(e)(2)</v>
      </c>
      <c r="H794" s="46">
        <v>42277</v>
      </c>
      <c r="I794" s="13">
        <v>2015</v>
      </c>
      <c r="J794" s="47">
        <v>7000000</v>
      </c>
      <c r="K794" s="16" t="s">
        <v>62</v>
      </c>
      <c r="L794" s="3" t="s">
        <v>47</v>
      </c>
      <c r="M794" s="3" t="s">
        <v>236</v>
      </c>
      <c r="N794" s="3" t="s">
        <v>49</v>
      </c>
    </row>
    <row r="795" spans="1:14" x14ac:dyDescent="0.3">
      <c r="A795" s="36" t="s">
        <v>37</v>
      </c>
      <c r="B795" s="13">
        <v>111</v>
      </c>
      <c r="C795" s="48" t="str">
        <f t="shared" si="29"/>
        <v>P.L. 111-211</v>
      </c>
      <c r="D795" s="3" t="s">
        <v>1513</v>
      </c>
      <c r="E795" s="3" t="s">
        <v>1522</v>
      </c>
      <c r="F795" s="3" t="s">
        <v>1523</v>
      </c>
      <c r="G795" s="48" t="str">
        <f>HYPERLINK("https://uscode.house.gov/view.xhtml?req=granuleid:USC-prelim-title25-section2442&amp;num=0&amp;edition=prelim", "25 U.S.C. 2442")</f>
        <v>25 U.S.C. 2442</v>
      </c>
      <c r="H795" s="46">
        <v>42277</v>
      </c>
      <c r="I795" s="13">
        <v>2015</v>
      </c>
      <c r="J795" s="47">
        <v>2000000</v>
      </c>
      <c r="K795" s="16" t="s">
        <v>62</v>
      </c>
      <c r="L795" s="3" t="s">
        <v>47</v>
      </c>
      <c r="M795" s="3" t="s">
        <v>236</v>
      </c>
      <c r="N795" s="3" t="s">
        <v>49</v>
      </c>
    </row>
    <row r="796" spans="1:14" x14ac:dyDescent="0.3">
      <c r="A796" s="36" t="s">
        <v>37</v>
      </c>
      <c r="B796" s="13">
        <v>111</v>
      </c>
      <c r="C796" s="48" t="str">
        <f t="shared" si="29"/>
        <v>P.L. 111-211</v>
      </c>
      <c r="D796" s="3" t="s">
        <v>1513</v>
      </c>
      <c r="E796" s="3" t="s">
        <v>1524</v>
      </c>
      <c r="F796" s="3" t="s">
        <v>1525</v>
      </c>
      <c r="G796" s="48" t="str">
        <f>HYPERLINK("https://uscode.house.gov/view.xhtml?req=granuleid:USC-prelim-title25-section2442&amp;num=0&amp;edition=prelim", "25 U.S.C. 2442(b)(2)")</f>
        <v>25 U.S.C. 2442(b)(2)</v>
      </c>
      <c r="H796" s="46">
        <v>42277</v>
      </c>
      <c r="I796" s="13">
        <v>2015</v>
      </c>
      <c r="J796" s="47">
        <v>2000000</v>
      </c>
      <c r="K796" s="16" t="s">
        <v>62</v>
      </c>
      <c r="L796" s="3" t="s">
        <v>47</v>
      </c>
      <c r="M796" s="3" t="s">
        <v>236</v>
      </c>
      <c r="N796" s="3" t="s">
        <v>49</v>
      </c>
    </row>
    <row r="797" spans="1:14" x14ac:dyDescent="0.3">
      <c r="A797" s="36" t="s">
        <v>37</v>
      </c>
      <c r="B797" s="13">
        <v>111</v>
      </c>
      <c r="C797" s="48" t="str">
        <f t="shared" si="29"/>
        <v>P.L. 111-211</v>
      </c>
      <c r="D797" s="3" t="s">
        <v>1513</v>
      </c>
      <c r="E797" s="3" t="s">
        <v>1526</v>
      </c>
      <c r="F797" s="3" t="s">
        <v>1527</v>
      </c>
      <c r="G797" s="48" t="str">
        <f>HYPERLINK("https://uscode.house.gov/view.xhtml?req=granuleid:USC-prelim-title25-section2451&amp;num=0&amp;edition=prelim", "25 U.S.C. 2451")</f>
        <v>25 U.S.C. 2451</v>
      </c>
      <c r="H797" s="46">
        <v>42277</v>
      </c>
      <c r="I797" s="13">
        <v>2015</v>
      </c>
      <c r="J797" s="16" t="s">
        <v>12</v>
      </c>
      <c r="K797" s="16" t="s">
        <v>62</v>
      </c>
      <c r="L797" s="3" t="s">
        <v>47</v>
      </c>
      <c r="M797" s="3" t="s">
        <v>236</v>
      </c>
      <c r="N797" s="3" t="s">
        <v>49</v>
      </c>
    </row>
    <row r="798" spans="1:14" x14ac:dyDescent="0.3">
      <c r="A798" s="36" t="s">
        <v>37</v>
      </c>
      <c r="B798" s="13">
        <v>111</v>
      </c>
      <c r="C798" s="48" t="str">
        <f t="shared" si="29"/>
        <v>P.L. 111-211</v>
      </c>
      <c r="D798" s="3" t="s">
        <v>1513</v>
      </c>
      <c r="E798" s="3" t="s">
        <v>1528</v>
      </c>
      <c r="F798" s="3" t="s">
        <v>1529</v>
      </c>
      <c r="G798" s="48" t="str">
        <f>HYPERLINK("https://uscode.house.gov/view.xhtml?req=granuleid:USC-prelim-title25-section2453&amp;num=0&amp;edition=prelim", "25 U.S.C. 2453(b)(1)")</f>
        <v>25 U.S.C. 2453(b)(1)</v>
      </c>
      <c r="H798" s="46">
        <v>42277</v>
      </c>
      <c r="I798" s="13">
        <v>2015</v>
      </c>
      <c r="J798" s="47">
        <v>10000000</v>
      </c>
      <c r="K798" s="16" t="s">
        <v>62</v>
      </c>
      <c r="L798" s="3" t="s">
        <v>47</v>
      </c>
      <c r="M798" s="3" t="s">
        <v>236</v>
      </c>
      <c r="N798" s="3" t="s">
        <v>49</v>
      </c>
    </row>
    <row r="799" spans="1:14" x14ac:dyDescent="0.3">
      <c r="A799" s="36" t="s">
        <v>37</v>
      </c>
      <c r="B799" s="13">
        <v>111</v>
      </c>
      <c r="C799" s="48" t="str">
        <f t="shared" si="29"/>
        <v>P.L. 111-211</v>
      </c>
      <c r="D799" s="3" t="s">
        <v>1513</v>
      </c>
      <c r="E799" s="3" t="s">
        <v>1528</v>
      </c>
      <c r="F799" s="3" t="s">
        <v>1530</v>
      </c>
      <c r="G799" s="48" t="str">
        <f>HYPERLINK("https://uscode.house.gov/view.xhtml?req=granuleid:USC-prelim-title25-section2453&amp;num=0&amp;edition=prelim", "25 U.S.C. 2453(b)(2)")</f>
        <v>25 U.S.C. 2453(b)(2)</v>
      </c>
      <c r="H799" s="46">
        <v>42277</v>
      </c>
      <c r="I799" s="13">
        <v>2015</v>
      </c>
      <c r="J799" s="47">
        <v>7000000</v>
      </c>
      <c r="K799" s="47">
        <v>555000</v>
      </c>
      <c r="L799" s="3" t="s">
        <v>47</v>
      </c>
      <c r="M799" s="3" t="s">
        <v>236</v>
      </c>
      <c r="N799" s="3" t="s">
        <v>49</v>
      </c>
    </row>
    <row r="800" spans="1:14" x14ac:dyDescent="0.3">
      <c r="A800" s="36" t="s">
        <v>37</v>
      </c>
      <c r="B800" s="13">
        <v>111</v>
      </c>
      <c r="C800" s="48" t="str">
        <f t="shared" si="29"/>
        <v>P.L. 111-211</v>
      </c>
      <c r="D800" s="3" t="s">
        <v>1513</v>
      </c>
      <c r="E800" s="3" t="s">
        <v>1531</v>
      </c>
      <c r="F800" s="3" t="s">
        <v>1532</v>
      </c>
      <c r="G800" s="48" t="str">
        <f>HYPERLINK("https://uscode.house.gov/view.xhtml?req=granuleid:USC-prelim-title25-section3621&amp;num=0&amp;edition=prelim", "25 U.S.C. 3621(a)")</f>
        <v>25 U.S.C. 3621(a)</v>
      </c>
      <c r="H800" s="46">
        <v>42277</v>
      </c>
      <c r="I800" s="13">
        <v>2015</v>
      </c>
      <c r="J800" s="47">
        <v>7000000</v>
      </c>
      <c r="K800" s="47">
        <v>34836000</v>
      </c>
      <c r="L800" s="3" t="s">
        <v>41</v>
      </c>
      <c r="M800" s="3" t="s">
        <v>236</v>
      </c>
      <c r="N800" s="3" t="s">
        <v>49</v>
      </c>
    </row>
    <row r="801" spans="1:14" x14ac:dyDescent="0.3">
      <c r="A801" s="36" t="s">
        <v>37</v>
      </c>
      <c r="B801" s="13">
        <v>111</v>
      </c>
      <c r="C801" s="48" t="str">
        <f t="shared" si="29"/>
        <v>P.L. 111-211</v>
      </c>
      <c r="D801" s="3" t="s">
        <v>1513</v>
      </c>
      <c r="E801" s="3" t="s">
        <v>1531</v>
      </c>
      <c r="F801" s="3" t="s">
        <v>1533</v>
      </c>
      <c r="G801" s="48" t="str">
        <f>HYPERLINK("https://uscode.house.gov/view.xhtml?req=granuleid:USC-prelim-title25-section3621&amp;num=0&amp;edition=prelim", "25 U.S.C. 3621(b)")</f>
        <v>25 U.S.C. 3621(b)</v>
      </c>
      <c r="H801" s="46">
        <v>42277</v>
      </c>
      <c r="I801" s="13">
        <v>2015</v>
      </c>
      <c r="J801" s="47">
        <v>50000000</v>
      </c>
      <c r="K801" s="47">
        <v>34836000</v>
      </c>
      <c r="L801" s="3" t="s">
        <v>47</v>
      </c>
      <c r="M801" s="3" t="s">
        <v>236</v>
      </c>
      <c r="N801" s="3" t="s">
        <v>49</v>
      </c>
    </row>
    <row r="802" spans="1:14" x14ac:dyDescent="0.3">
      <c r="A802" s="36" t="s">
        <v>37</v>
      </c>
      <c r="B802" s="13">
        <v>111</v>
      </c>
      <c r="C802" s="48" t="str">
        <f t="shared" si="29"/>
        <v>P.L. 111-211</v>
      </c>
      <c r="D802" s="3" t="s">
        <v>1513</v>
      </c>
      <c r="E802" s="3" t="s">
        <v>1531</v>
      </c>
      <c r="F802" s="3" t="s">
        <v>1534</v>
      </c>
      <c r="G802" s="48" t="str">
        <f>HYPERLINK("https://uscode.house.gov/view.xhtml?req=granuleid:USC-prelim-title25-section3621&amp;num=0&amp;edition=prelim", "25 U.S.C. 3621(c)")</f>
        <v>25 U.S.C. 3621(c)</v>
      </c>
      <c r="H802" s="46">
        <v>42277</v>
      </c>
      <c r="I802" s="13">
        <v>2015</v>
      </c>
      <c r="J802" s="47">
        <v>500000</v>
      </c>
      <c r="K802" s="16" t="s">
        <v>62</v>
      </c>
      <c r="L802" s="3" t="s">
        <v>47</v>
      </c>
      <c r="M802" s="3" t="s">
        <v>236</v>
      </c>
      <c r="N802" s="3" t="s">
        <v>49</v>
      </c>
    </row>
    <row r="803" spans="1:14" x14ac:dyDescent="0.3">
      <c r="A803" s="36" t="s">
        <v>37</v>
      </c>
      <c r="B803" s="13">
        <v>111</v>
      </c>
      <c r="C803" s="48" t="str">
        <f t="shared" si="29"/>
        <v>P.L. 111-211</v>
      </c>
      <c r="D803" s="3" t="s">
        <v>1513</v>
      </c>
      <c r="E803" s="3" t="s">
        <v>1531</v>
      </c>
      <c r="F803" s="3" t="s">
        <v>1535</v>
      </c>
      <c r="G803" s="49"/>
      <c r="H803" s="46">
        <v>42277</v>
      </c>
      <c r="I803" s="13">
        <v>2015</v>
      </c>
      <c r="J803" s="47">
        <v>500000</v>
      </c>
      <c r="K803" s="16" t="s">
        <v>62</v>
      </c>
      <c r="L803" s="3" t="s">
        <v>47</v>
      </c>
      <c r="M803" s="3" t="s">
        <v>236</v>
      </c>
      <c r="N803" s="3" t="s">
        <v>49</v>
      </c>
    </row>
    <row r="804" spans="1:14" x14ac:dyDescent="0.3">
      <c r="A804" s="36" t="s">
        <v>37</v>
      </c>
      <c r="B804" s="13">
        <v>111</v>
      </c>
      <c r="C804" s="48" t="str">
        <f t="shared" si="29"/>
        <v>P.L. 111-211</v>
      </c>
      <c r="D804" s="3" t="s">
        <v>1513</v>
      </c>
      <c r="E804" s="3" t="s">
        <v>1536</v>
      </c>
      <c r="F804" s="3" t="s">
        <v>1537</v>
      </c>
      <c r="G804" s="49"/>
      <c r="H804" s="46">
        <v>42277</v>
      </c>
      <c r="I804" s="13">
        <v>2015</v>
      </c>
      <c r="J804" s="16" t="s">
        <v>12</v>
      </c>
      <c r="K804" s="16" t="s">
        <v>62</v>
      </c>
      <c r="L804" s="3" t="s">
        <v>47</v>
      </c>
      <c r="M804" s="3" t="s">
        <v>236</v>
      </c>
      <c r="N804" s="3" t="s">
        <v>43</v>
      </c>
    </row>
    <row r="805" spans="1:14" x14ac:dyDescent="0.3">
      <c r="A805" s="36" t="s">
        <v>37</v>
      </c>
      <c r="B805" s="13">
        <v>111</v>
      </c>
      <c r="C805" s="48" t="str">
        <f t="shared" si="29"/>
        <v>P.L. 111-211</v>
      </c>
      <c r="D805" s="3" t="s">
        <v>1513</v>
      </c>
      <c r="E805" s="3" t="s">
        <v>1536</v>
      </c>
      <c r="F805" s="3" t="s">
        <v>1538</v>
      </c>
      <c r="G805" s="49"/>
      <c r="H805" s="46">
        <v>42277</v>
      </c>
      <c r="I805" s="13">
        <v>2015</v>
      </c>
      <c r="J805" s="16" t="s">
        <v>12</v>
      </c>
      <c r="K805" s="16" t="s">
        <v>62</v>
      </c>
      <c r="L805" s="3" t="s">
        <v>47</v>
      </c>
      <c r="M805" s="3" t="s">
        <v>236</v>
      </c>
      <c r="N805" s="3" t="s">
        <v>43</v>
      </c>
    </row>
    <row r="806" spans="1:14" x14ac:dyDescent="0.3">
      <c r="A806" s="36" t="s">
        <v>37</v>
      </c>
      <c r="B806" s="13">
        <v>111</v>
      </c>
      <c r="C806" s="48" t="str">
        <f t="shared" si="29"/>
        <v>P.L. 111-211</v>
      </c>
      <c r="D806" s="3" t="s">
        <v>1513</v>
      </c>
      <c r="E806" s="3" t="s">
        <v>1539</v>
      </c>
      <c r="F806" s="3" t="s">
        <v>1540</v>
      </c>
      <c r="G806" s="48" t="str">
        <f>HYPERLINK("https://uscode.house.gov/view.xhtml?req=granuleid:USC-prelim-title34-section10381&amp;num=0&amp;edition=prelim", "34 U.S.C. 10381(j)(4)")</f>
        <v>34 U.S.C. 10381(j)(4)</v>
      </c>
      <c r="H806" s="46">
        <v>42277</v>
      </c>
      <c r="I806" s="13">
        <v>2015</v>
      </c>
      <c r="J806" s="47">
        <v>40000000</v>
      </c>
      <c r="K806" s="47">
        <v>60000000</v>
      </c>
      <c r="L806" s="3" t="s">
        <v>41</v>
      </c>
      <c r="M806" s="3" t="s">
        <v>42</v>
      </c>
      <c r="N806" s="3" t="s">
        <v>43</v>
      </c>
    </row>
    <row r="807" spans="1:14" x14ac:dyDescent="0.3">
      <c r="A807" s="36" t="s">
        <v>37</v>
      </c>
      <c r="B807" s="13">
        <v>111</v>
      </c>
      <c r="C807" s="48" t="str">
        <f>HYPERLINK("https://uscode.house.gov/statutes/pl/111/233.pdf", "P.L. 111-233")</f>
        <v>P.L. 111-233</v>
      </c>
      <c r="D807" s="3" t="s">
        <v>1541</v>
      </c>
      <c r="F807" s="3" t="s">
        <v>1542</v>
      </c>
      <c r="G807" s="49"/>
      <c r="H807" s="46">
        <v>43373</v>
      </c>
      <c r="I807" s="13">
        <v>2018</v>
      </c>
      <c r="J807" s="47">
        <v>7500000</v>
      </c>
      <c r="K807" s="47">
        <v>7000000</v>
      </c>
      <c r="L807" s="3" t="s">
        <v>1105</v>
      </c>
      <c r="M807" s="3" t="s">
        <v>586</v>
      </c>
      <c r="N807" s="3" t="s">
        <v>406</v>
      </c>
    </row>
    <row r="808" spans="1:14" x14ac:dyDescent="0.3">
      <c r="A808" s="36" t="s">
        <v>37</v>
      </c>
      <c r="B808" s="13">
        <v>111</v>
      </c>
      <c r="C808" s="48" t="str">
        <f>HYPERLINK("https://uscode.house.gov/statutes/pl/111/240.pdf", "P.L. 111-240")</f>
        <v>P.L. 111-240</v>
      </c>
      <c r="D808" s="3" t="s">
        <v>1543</v>
      </c>
      <c r="E808" s="3" t="s">
        <v>1544</v>
      </c>
      <c r="F808" s="3" t="s">
        <v>1545</v>
      </c>
      <c r="G808" s="49"/>
      <c r="H808" s="46">
        <v>42277</v>
      </c>
      <c r="I808" s="13">
        <v>2015</v>
      </c>
      <c r="J808" s="47">
        <v>5000000</v>
      </c>
      <c r="K808" s="16" t="s">
        <v>62</v>
      </c>
      <c r="L808" s="3" t="s">
        <v>1095</v>
      </c>
      <c r="M808" s="3" t="s">
        <v>1096</v>
      </c>
      <c r="N808" s="3" t="s">
        <v>55</v>
      </c>
    </row>
    <row r="809" spans="1:14" x14ac:dyDescent="0.3">
      <c r="A809" s="36" t="s">
        <v>37</v>
      </c>
      <c r="B809" s="13">
        <v>111</v>
      </c>
      <c r="C809" s="48" t="str">
        <f>HYPERLINK("https://uscode.house.gov/statutes/pl/111/240.pdf", "P.L. 111-240")</f>
        <v>P.L. 111-240</v>
      </c>
      <c r="D809" s="3" t="s">
        <v>1543</v>
      </c>
      <c r="E809" s="3" t="s">
        <v>1546</v>
      </c>
      <c r="F809" s="3" t="s">
        <v>1547</v>
      </c>
      <c r="G809" s="49"/>
      <c r="H809" s="46">
        <v>41182</v>
      </c>
      <c r="I809" s="13">
        <v>2012</v>
      </c>
      <c r="J809" s="16" t="s">
        <v>12</v>
      </c>
      <c r="K809" s="16" t="s">
        <v>62</v>
      </c>
      <c r="L809" s="3" t="s">
        <v>60</v>
      </c>
      <c r="M809" s="3" t="s">
        <v>148</v>
      </c>
      <c r="N809" s="3" t="s">
        <v>43</v>
      </c>
    </row>
    <row r="810" spans="1:14" x14ac:dyDescent="0.3">
      <c r="A810" s="36" t="s">
        <v>37</v>
      </c>
      <c r="B810" s="13">
        <v>111</v>
      </c>
      <c r="C810" s="48" t="str">
        <f>HYPERLINK("https://uscode.house.gov/statutes/pl/111/240.pdf", "P.L. 111-240")</f>
        <v>P.L. 111-240</v>
      </c>
      <c r="D810" s="3" t="s">
        <v>1543</v>
      </c>
      <c r="E810" s="3" t="s">
        <v>1548</v>
      </c>
      <c r="F810" s="3" t="s">
        <v>1549</v>
      </c>
      <c r="G810" s="49"/>
      <c r="H810" s="46">
        <v>41182</v>
      </c>
      <c r="I810" s="13">
        <v>2012</v>
      </c>
      <c r="J810" s="47">
        <v>5000000</v>
      </c>
      <c r="K810" s="16" t="s">
        <v>62</v>
      </c>
      <c r="L810" s="3" t="s">
        <v>60</v>
      </c>
      <c r="M810" s="3" t="s">
        <v>148</v>
      </c>
      <c r="N810" s="3" t="s">
        <v>43</v>
      </c>
    </row>
    <row r="811" spans="1:14" x14ac:dyDescent="0.3">
      <c r="A811" s="36" t="s">
        <v>37</v>
      </c>
      <c r="B811" s="13">
        <v>111</v>
      </c>
      <c r="C811" s="48" t="str">
        <f>HYPERLINK("https://uscode.house.gov/statutes/pl/111/240.pdf", "P.L. 111-240")</f>
        <v>P.L. 111-240</v>
      </c>
      <c r="D811" s="3" t="s">
        <v>1543</v>
      </c>
      <c r="E811" s="3" t="s">
        <v>1550</v>
      </c>
      <c r="F811" s="3" t="s">
        <v>1551</v>
      </c>
      <c r="G811" s="49"/>
      <c r="H811" s="46">
        <v>40996</v>
      </c>
      <c r="I811" s="13">
        <v>2012</v>
      </c>
      <c r="J811" s="47">
        <v>11000000</v>
      </c>
      <c r="K811" s="16" t="s">
        <v>62</v>
      </c>
      <c r="L811" s="3" t="s">
        <v>60</v>
      </c>
      <c r="M811" s="3" t="s">
        <v>148</v>
      </c>
      <c r="N811" s="3" t="s">
        <v>43</v>
      </c>
    </row>
    <row r="812" spans="1:14" x14ac:dyDescent="0.3">
      <c r="A812" s="36" t="s">
        <v>37</v>
      </c>
      <c r="B812" s="13">
        <v>111</v>
      </c>
      <c r="C812" s="48" t="str">
        <f>HYPERLINK("https://uscode.house.gov/statutes/pl/111/240.pdf", "P.L. 111-240")</f>
        <v>P.L. 111-240</v>
      </c>
      <c r="D812" s="3" t="s">
        <v>1543</v>
      </c>
      <c r="E812" s="3" t="s">
        <v>1552</v>
      </c>
      <c r="F812" s="3" t="s">
        <v>1553</v>
      </c>
      <c r="G812" s="49"/>
      <c r="H812" s="46">
        <v>40996</v>
      </c>
      <c r="I812" s="13">
        <v>2012</v>
      </c>
      <c r="J812" s="47">
        <v>15000000</v>
      </c>
      <c r="K812" s="16" t="s">
        <v>62</v>
      </c>
      <c r="L812" s="3" t="s">
        <v>60</v>
      </c>
      <c r="M812" s="3" t="s">
        <v>148</v>
      </c>
      <c r="N812" s="3" t="s">
        <v>43</v>
      </c>
    </row>
    <row r="813" spans="1:14" x14ac:dyDescent="0.3">
      <c r="A813" s="36" t="s">
        <v>37</v>
      </c>
      <c r="B813" s="13">
        <v>111</v>
      </c>
      <c r="C813" s="48" t="str">
        <f>HYPERLINK("https://uscode.house.gov/statutes/pl/111/267.pdf", "P.L. 111-267")</f>
        <v>P.L. 111-267</v>
      </c>
      <c r="D813" s="3" t="s">
        <v>1554</v>
      </c>
      <c r="E813" s="3" t="s">
        <v>1555</v>
      </c>
      <c r="F813" s="3" t="s">
        <v>1556</v>
      </c>
      <c r="G813" s="49"/>
      <c r="H813" s="46">
        <v>41547</v>
      </c>
      <c r="I813" s="13">
        <v>2013</v>
      </c>
      <c r="J813" s="47">
        <v>15000000</v>
      </c>
      <c r="K813" s="16" t="s">
        <v>62</v>
      </c>
      <c r="L813" s="3" t="s">
        <v>135</v>
      </c>
      <c r="M813" s="3" t="s">
        <v>148</v>
      </c>
      <c r="N813" s="3" t="s">
        <v>43</v>
      </c>
    </row>
    <row r="814" spans="1:14" x14ac:dyDescent="0.3">
      <c r="A814" s="36" t="s">
        <v>37</v>
      </c>
      <c r="B814" s="13">
        <v>111</v>
      </c>
      <c r="C814" s="48" t="str">
        <f>HYPERLINK("https://uscode.house.gov/statutes/pl/111/275.pdf", "P.L. 111-275")</f>
        <v>P.L. 111-275</v>
      </c>
      <c r="D814" s="3" t="s">
        <v>1557</v>
      </c>
      <c r="F814" s="3" t="s">
        <v>1558</v>
      </c>
      <c r="G814" s="49"/>
      <c r="H814" s="46">
        <v>41912</v>
      </c>
      <c r="I814" s="13">
        <v>2014</v>
      </c>
      <c r="J814" s="47">
        <v>1500000</v>
      </c>
      <c r="K814" s="16" t="s">
        <v>62</v>
      </c>
      <c r="L814" s="3" t="s">
        <v>265</v>
      </c>
      <c r="M814" s="3" t="s">
        <v>266</v>
      </c>
      <c r="N814" s="3" t="s">
        <v>267</v>
      </c>
    </row>
    <row r="815" spans="1:14" x14ac:dyDescent="0.3">
      <c r="A815" s="36" t="s">
        <v>37</v>
      </c>
      <c r="B815" s="13">
        <v>111</v>
      </c>
      <c r="C815" s="48" t="str">
        <f>HYPERLINK("https://uscode.house.gov/statutes/pl/111/280.pdf", "P.L. 111-280")</f>
        <v>P.L. 111-280</v>
      </c>
      <c r="D815" s="3" t="s">
        <v>1559</v>
      </c>
      <c r="E815" s="3" t="s">
        <v>1560</v>
      </c>
      <c r="F815" s="3" t="s">
        <v>1561</v>
      </c>
      <c r="G815" s="48" t="str">
        <f>HYPERLINK("https://uscode.house.gov/view.xhtml?req=granuleid:USC-prelim-title42-section1320b&amp;num=0&amp;edition=prelim", "42 U.S.C. 1320b")</f>
        <v>42 U.S.C. 1320b</v>
      </c>
      <c r="H815" s="46">
        <v>40816</v>
      </c>
      <c r="I815" s="13">
        <v>2011</v>
      </c>
      <c r="J815" s="47">
        <v>23000000</v>
      </c>
      <c r="K815" s="47">
        <v>23000000</v>
      </c>
      <c r="L815" s="3" t="s">
        <v>292</v>
      </c>
      <c r="M815" s="3" t="s">
        <v>418</v>
      </c>
      <c r="N815" s="3" t="s">
        <v>72</v>
      </c>
    </row>
    <row r="816" spans="1:14" x14ac:dyDescent="0.3">
      <c r="A816" s="36" t="s">
        <v>37</v>
      </c>
      <c r="B816" s="13">
        <v>111</v>
      </c>
      <c r="C816" s="48" t="str">
        <f>HYPERLINK("https://uscode.house.gov/statutes/pl/111/280.pdf", "P.L. 111-280")</f>
        <v>P.L. 111-280</v>
      </c>
      <c r="D816" s="3" t="s">
        <v>1559</v>
      </c>
      <c r="E816" s="3" t="s">
        <v>1562</v>
      </c>
      <c r="F816" s="3" t="s">
        <v>1563</v>
      </c>
      <c r="G816" s="48" t="str">
        <f>HYPERLINK("https://uscode.house.gov/view.xhtml?req=granuleid:USC-prelim-title42-section1320b&amp;num=0&amp;edition=prelim", "42 U.S.C. 1320b(21)(h)")</f>
        <v>42 U.S.C. 1320b(21)(h)</v>
      </c>
      <c r="H816" s="46">
        <v>40816</v>
      </c>
      <c r="I816" s="13">
        <v>2011</v>
      </c>
      <c r="J816" s="47">
        <v>7000000</v>
      </c>
      <c r="K816" s="47">
        <v>10000000</v>
      </c>
      <c r="L816" s="3" t="s">
        <v>292</v>
      </c>
      <c r="M816" s="3" t="s">
        <v>418</v>
      </c>
      <c r="N816" s="3" t="s">
        <v>72</v>
      </c>
    </row>
    <row r="817" spans="1:14" x14ac:dyDescent="0.3">
      <c r="A817" s="36" t="s">
        <v>37</v>
      </c>
      <c r="B817" s="13">
        <v>111</v>
      </c>
      <c r="C817" s="48" t="str">
        <f>HYPERLINK("https://uscode.house.gov/statutes/pl/111/281.pdf", "P.L. 111-281")</f>
        <v>P.L. 111-281</v>
      </c>
      <c r="D817" s="3" t="s">
        <v>1564</v>
      </c>
      <c r="E817" s="3" t="s">
        <v>1565</v>
      </c>
      <c r="F817" s="3" t="s">
        <v>1566</v>
      </c>
      <c r="G817" s="49"/>
      <c r="H817" s="46">
        <v>40816</v>
      </c>
      <c r="I817" s="13">
        <v>2011</v>
      </c>
      <c r="J817" s="47">
        <v>1400700000</v>
      </c>
      <c r="K817" s="47">
        <v>2044414000</v>
      </c>
      <c r="L817" s="3" t="s">
        <v>109</v>
      </c>
      <c r="M817" s="3" t="s">
        <v>148</v>
      </c>
      <c r="N817" s="3" t="s">
        <v>122</v>
      </c>
    </row>
    <row r="818" spans="1:14" x14ac:dyDescent="0.3">
      <c r="A818" s="36" t="s">
        <v>37</v>
      </c>
      <c r="B818" s="13">
        <v>111</v>
      </c>
      <c r="C818" s="48" t="str">
        <f>HYPERLINK("https://uscode.house.gov/statutes/pl/111/281.pdf", "P.L. 111-281")</f>
        <v>P.L. 111-281</v>
      </c>
      <c r="D818" s="3" t="s">
        <v>1564</v>
      </c>
      <c r="E818" s="3" t="s">
        <v>1567</v>
      </c>
      <c r="F818" s="3" t="s">
        <v>1568</v>
      </c>
      <c r="G818" s="48" t="str">
        <f>HYPERLINK("https://uscode.house.gov/view.xhtml?req=granuleid:USC-prelim-title33-section1321a&amp;num=0&amp;edition=prelim", "33 U.S.C. 1321a")</f>
        <v>33 U.S.C. 1321a</v>
      </c>
      <c r="H818" s="46">
        <v>41912</v>
      </c>
      <c r="I818" s="13">
        <v>2014</v>
      </c>
      <c r="J818" s="47">
        <v>10000000</v>
      </c>
      <c r="K818" s="16" t="s">
        <v>62</v>
      </c>
      <c r="L818" s="3" t="s">
        <v>109</v>
      </c>
      <c r="M818" s="3" t="s">
        <v>148</v>
      </c>
      <c r="N818" s="3" t="s">
        <v>43</v>
      </c>
    </row>
    <row r="819" spans="1:14" x14ac:dyDescent="0.3">
      <c r="A819" s="36" t="s">
        <v>37</v>
      </c>
      <c r="B819" s="13">
        <v>111</v>
      </c>
      <c r="C819" s="48" t="str">
        <f>HYPERLINK("https://uscode.house.gov/statutes/pl/111/281.pdf", "P.L. 111-281")</f>
        <v>P.L. 111-281</v>
      </c>
      <c r="D819" s="3" t="s">
        <v>1564</v>
      </c>
      <c r="E819" s="3" t="s">
        <v>1569</v>
      </c>
      <c r="F819" s="3" t="s">
        <v>1570</v>
      </c>
      <c r="G819" s="49"/>
      <c r="H819" s="46">
        <v>41912</v>
      </c>
      <c r="I819" s="13">
        <v>2014</v>
      </c>
      <c r="J819" s="47">
        <v>500000</v>
      </c>
      <c r="K819" s="16" t="s">
        <v>62</v>
      </c>
      <c r="L819" s="3" t="s">
        <v>109</v>
      </c>
      <c r="M819" s="3" t="s">
        <v>148</v>
      </c>
      <c r="N819" s="3" t="s">
        <v>122</v>
      </c>
    </row>
    <row r="820" spans="1:14" x14ac:dyDescent="0.3">
      <c r="A820" s="36" t="s">
        <v>37</v>
      </c>
      <c r="B820" s="13">
        <v>111</v>
      </c>
      <c r="C820" s="48" t="str">
        <f>HYPERLINK("https://uscode.house.gov/statutes/pl/111/281.pdf", "P.L. 111-281")</f>
        <v>P.L. 111-281</v>
      </c>
      <c r="D820" s="3" t="s">
        <v>1564</v>
      </c>
      <c r="E820" s="3" t="s">
        <v>326</v>
      </c>
      <c r="F820" s="3" t="s">
        <v>1571</v>
      </c>
      <c r="G820" s="48" t="str">
        <f>HYPERLINK("https://uscode.house.gov/view.xhtml?req=granuleid:USC-prelim-title46-section70122&amp;num=0&amp;edition=prelim", "46 U.S.C. 70122(f)")</f>
        <v>46 U.S.C. 70122(f)</v>
      </c>
      <c r="H820" s="46">
        <v>42643</v>
      </c>
      <c r="I820" s="13">
        <v>2016</v>
      </c>
      <c r="J820" s="47">
        <v>3000000</v>
      </c>
      <c r="K820" s="16" t="s">
        <v>62</v>
      </c>
      <c r="L820" s="3" t="s">
        <v>109</v>
      </c>
      <c r="M820" s="3" t="s">
        <v>148</v>
      </c>
      <c r="N820" s="3" t="s">
        <v>122</v>
      </c>
    </row>
    <row r="821" spans="1:14" x14ac:dyDescent="0.3">
      <c r="A821" s="36" t="s">
        <v>37</v>
      </c>
      <c r="B821" s="13">
        <v>111</v>
      </c>
      <c r="C821" s="48" t="str">
        <f>HYPERLINK("https://uscode.house.gov/statutes/pl/111/281.pdf", "P.L. 111-281")</f>
        <v>P.L. 111-281</v>
      </c>
      <c r="D821" s="3" t="s">
        <v>1564</v>
      </c>
      <c r="E821" s="3" t="s">
        <v>1572</v>
      </c>
      <c r="F821" s="3" t="s">
        <v>1573</v>
      </c>
      <c r="G821" s="48" t="str">
        <f>HYPERLINK("https://uscode.house.gov/view.xhtml?req=granuleid:USC-prelim-title46-section70107&amp;num=0&amp;edition=prelim", "46 U.S.C. 70107(l)")</f>
        <v>46 U.S.C. 70107(l)</v>
      </c>
      <c r="H821" s="46">
        <v>41547</v>
      </c>
      <c r="I821" s="13">
        <v>2013</v>
      </c>
      <c r="J821" s="47">
        <v>400000000</v>
      </c>
      <c r="K821" s="47">
        <v>100000000</v>
      </c>
      <c r="L821" s="3" t="s">
        <v>642</v>
      </c>
      <c r="M821" s="3" t="s">
        <v>148</v>
      </c>
      <c r="N821" s="3" t="s">
        <v>122</v>
      </c>
    </row>
    <row r="822" spans="1:14" x14ac:dyDescent="0.3">
      <c r="A822" s="36" t="s">
        <v>37</v>
      </c>
      <c r="B822" s="13">
        <v>111</v>
      </c>
      <c r="C822" s="48" t="str">
        <f>HYPERLINK("https://uscode.house.gov/statutes/pl/111/291.pdf", "P.L. 111-291")</f>
        <v>P.L. 111-291</v>
      </c>
      <c r="D822" s="3" t="s">
        <v>1574</v>
      </c>
      <c r="E822" s="3" t="s">
        <v>1575</v>
      </c>
      <c r="F822" s="3" t="s">
        <v>1576</v>
      </c>
      <c r="G822" s="49"/>
      <c r="H822" s="46">
        <v>42643</v>
      </c>
      <c r="I822" s="13">
        <v>2016</v>
      </c>
      <c r="J822" s="16" t="s">
        <v>12</v>
      </c>
      <c r="K822" s="16" t="s">
        <v>62</v>
      </c>
      <c r="L822" s="3" t="s">
        <v>47</v>
      </c>
      <c r="M822" s="3" t="s">
        <v>236</v>
      </c>
      <c r="N822" s="3" t="s">
        <v>58</v>
      </c>
    </row>
    <row r="823" spans="1:14" x14ac:dyDescent="0.3">
      <c r="A823" s="36" t="s">
        <v>37</v>
      </c>
      <c r="B823" s="13">
        <v>111</v>
      </c>
      <c r="C823" s="48" t="str">
        <f>HYPERLINK("https://uscode.house.gov/statutes/pl/111/291.pdf", "P.L. 111-291")</f>
        <v>P.L. 111-291</v>
      </c>
      <c r="D823" s="3" t="s">
        <v>1574</v>
      </c>
      <c r="E823" s="3" t="s">
        <v>1575</v>
      </c>
      <c r="F823" s="3" t="s">
        <v>1577</v>
      </c>
      <c r="G823" s="49"/>
      <c r="H823" s="46">
        <v>42643</v>
      </c>
      <c r="I823" s="13">
        <v>2016</v>
      </c>
      <c r="J823" s="16" t="s">
        <v>12</v>
      </c>
      <c r="K823" s="16" t="s">
        <v>62</v>
      </c>
      <c r="L823" s="3" t="s">
        <v>47</v>
      </c>
      <c r="M823" s="3" t="s">
        <v>236</v>
      </c>
      <c r="N823" s="3" t="s">
        <v>49</v>
      </c>
    </row>
    <row r="824" spans="1:14" x14ac:dyDescent="0.3">
      <c r="A824" s="36" t="s">
        <v>37</v>
      </c>
      <c r="B824" s="13">
        <v>111</v>
      </c>
      <c r="C824" s="48" t="str">
        <f>HYPERLINK("https://uscode.house.gov/statutes/pl/111/291.pdf", "P.L. 111-291")</f>
        <v>P.L. 111-291</v>
      </c>
      <c r="D824" s="3" t="s">
        <v>1574</v>
      </c>
      <c r="E824" s="3" t="s">
        <v>1578</v>
      </c>
      <c r="F824" s="3" t="s">
        <v>1579</v>
      </c>
      <c r="G824" s="49"/>
      <c r="H824" s="46">
        <v>45565</v>
      </c>
      <c r="I824" s="13">
        <v>2024</v>
      </c>
      <c r="J824" s="16" t="s">
        <v>12</v>
      </c>
      <c r="K824" s="16" t="s">
        <v>62</v>
      </c>
      <c r="L824" s="3" t="s">
        <v>47</v>
      </c>
      <c r="M824" s="3" t="s">
        <v>236</v>
      </c>
      <c r="N824" s="3" t="s">
        <v>49</v>
      </c>
    </row>
    <row r="825" spans="1:14" x14ac:dyDescent="0.3">
      <c r="A825" s="36" t="s">
        <v>37</v>
      </c>
      <c r="B825" s="13">
        <v>111</v>
      </c>
      <c r="C825" s="48" t="str">
        <f>HYPERLINK("https://uscode.house.gov/statutes/pl/111/13.pdf", "P.L. 111-13")</f>
        <v>P.L. 111-13</v>
      </c>
      <c r="D825" s="3" t="s">
        <v>1331</v>
      </c>
      <c r="E825" s="3" t="s">
        <v>1346</v>
      </c>
      <c r="F825" s="3" t="s">
        <v>1347</v>
      </c>
      <c r="G825" s="48" t="str">
        <f>HYPERLINK("https://uscode.house.gov/view.xhtml?req=granuleid:USC-prelim-title42-section5084&amp;num=0&amp;edition=prelim", "42 U.S.C. 5084(a)")</f>
        <v>42 U.S.C. 5084(a)</v>
      </c>
      <c r="H825" s="46">
        <v>41912</v>
      </c>
      <c r="I825" s="13">
        <v>2014</v>
      </c>
      <c r="J825" s="16" t="s">
        <v>12</v>
      </c>
      <c r="K825" s="16" t="s">
        <v>62</v>
      </c>
      <c r="L825" s="3" t="s">
        <v>130</v>
      </c>
      <c r="M825" s="3" t="s">
        <v>71</v>
      </c>
      <c r="N825" s="3" t="s">
        <v>72</v>
      </c>
    </row>
    <row r="826" spans="1:14" x14ac:dyDescent="0.3">
      <c r="A826" s="36" t="s">
        <v>37</v>
      </c>
      <c r="B826" s="13">
        <v>111</v>
      </c>
      <c r="C826" s="48" t="str">
        <f t="shared" ref="C826:C831" si="30">HYPERLINK("https://uscode.house.gov/statutes/pl/111/296.pdf", "P.L. 111-296")</f>
        <v>P.L. 111-296</v>
      </c>
      <c r="D826" s="3" t="s">
        <v>1580</v>
      </c>
      <c r="E826" s="3" t="s">
        <v>1581</v>
      </c>
      <c r="F826" s="3" t="s">
        <v>1582</v>
      </c>
      <c r="G826" s="49"/>
      <c r="H826" s="46">
        <v>42277</v>
      </c>
      <c r="I826" s="13">
        <v>2015</v>
      </c>
      <c r="J826" s="16" t="s">
        <v>12</v>
      </c>
      <c r="K826" s="47">
        <v>30000000</v>
      </c>
      <c r="L826" s="3" t="s">
        <v>130</v>
      </c>
      <c r="M826" s="3" t="s">
        <v>586</v>
      </c>
      <c r="N826" s="3" t="s">
        <v>406</v>
      </c>
    </row>
    <row r="827" spans="1:14" x14ac:dyDescent="0.3">
      <c r="A827" s="36" t="s">
        <v>37</v>
      </c>
      <c r="B827" s="13">
        <v>111</v>
      </c>
      <c r="C827" s="48" t="str">
        <f t="shared" si="30"/>
        <v>P.L. 111-296</v>
      </c>
      <c r="D827" s="3" t="s">
        <v>1580</v>
      </c>
      <c r="E827" s="3" t="s">
        <v>1583</v>
      </c>
      <c r="F827" s="3" t="s">
        <v>1584</v>
      </c>
      <c r="G827" s="49"/>
      <c r="H827" s="46">
        <v>42277</v>
      </c>
      <c r="I827" s="13">
        <v>2015</v>
      </c>
      <c r="J827" s="47">
        <v>20000000</v>
      </c>
      <c r="K827" s="47">
        <v>12000000</v>
      </c>
      <c r="L827" s="3" t="s">
        <v>130</v>
      </c>
      <c r="M827" s="3" t="s">
        <v>586</v>
      </c>
      <c r="N827" s="3" t="s">
        <v>406</v>
      </c>
    </row>
    <row r="828" spans="1:14" x14ac:dyDescent="0.3">
      <c r="A828" s="36" t="s">
        <v>37</v>
      </c>
      <c r="B828" s="13">
        <v>111</v>
      </c>
      <c r="C828" s="48" t="str">
        <f t="shared" si="30"/>
        <v>P.L. 111-296</v>
      </c>
      <c r="D828" s="3" t="s">
        <v>1580</v>
      </c>
      <c r="E828" s="3" t="s">
        <v>663</v>
      </c>
      <c r="F828" s="3" t="s">
        <v>1585</v>
      </c>
      <c r="G828" s="49"/>
      <c r="H828" s="46">
        <v>42277</v>
      </c>
      <c r="I828" s="13">
        <v>2015</v>
      </c>
      <c r="J828" s="16" t="s">
        <v>12</v>
      </c>
      <c r="K828" s="16" t="s">
        <v>62</v>
      </c>
      <c r="L828" s="3" t="s">
        <v>130</v>
      </c>
      <c r="M828" s="3" t="s">
        <v>586</v>
      </c>
      <c r="N828" s="3" t="s">
        <v>406</v>
      </c>
    </row>
    <row r="829" spans="1:14" x14ac:dyDescent="0.3">
      <c r="A829" s="36" t="s">
        <v>37</v>
      </c>
      <c r="B829" s="13">
        <v>111</v>
      </c>
      <c r="C829" s="48" t="str">
        <f t="shared" si="30"/>
        <v>P.L. 111-296</v>
      </c>
      <c r="D829" s="3" t="s">
        <v>1580</v>
      </c>
      <c r="E829" s="3" t="s">
        <v>476</v>
      </c>
      <c r="F829" s="3" t="s">
        <v>1586</v>
      </c>
      <c r="G829" s="49"/>
      <c r="H829" s="46">
        <v>42277</v>
      </c>
      <c r="I829" s="13">
        <v>2015</v>
      </c>
      <c r="J829" s="47">
        <v>10000000</v>
      </c>
      <c r="K829" s="16" t="s">
        <v>62</v>
      </c>
      <c r="L829" s="3" t="s">
        <v>130</v>
      </c>
      <c r="M829" s="3" t="s">
        <v>586</v>
      </c>
      <c r="N829" s="3" t="s">
        <v>406</v>
      </c>
    </row>
    <row r="830" spans="1:14" x14ac:dyDescent="0.3">
      <c r="A830" s="36" t="s">
        <v>37</v>
      </c>
      <c r="B830" s="13">
        <v>111</v>
      </c>
      <c r="C830" s="48" t="str">
        <f t="shared" si="30"/>
        <v>P.L. 111-296</v>
      </c>
      <c r="D830" s="3" t="s">
        <v>1580</v>
      </c>
      <c r="E830" s="3" t="s">
        <v>1539</v>
      </c>
      <c r="F830" s="3" t="s">
        <v>1587</v>
      </c>
      <c r="G830" s="49"/>
      <c r="H830" s="46">
        <v>42277</v>
      </c>
      <c r="I830" s="13">
        <v>2015</v>
      </c>
      <c r="J830" s="16" t="s">
        <v>12</v>
      </c>
      <c r="K830" s="47">
        <v>14000000</v>
      </c>
      <c r="L830" s="3" t="s">
        <v>130</v>
      </c>
      <c r="M830" s="3" t="s">
        <v>586</v>
      </c>
      <c r="N830" s="3" t="s">
        <v>406</v>
      </c>
    </row>
    <row r="831" spans="1:14" x14ac:dyDescent="0.3">
      <c r="A831" s="36" t="s">
        <v>37</v>
      </c>
      <c r="B831" s="13">
        <v>111</v>
      </c>
      <c r="C831" s="48" t="str">
        <f t="shared" si="30"/>
        <v>P.L. 111-296</v>
      </c>
      <c r="D831" s="3" t="s">
        <v>1580</v>
      </c>
      <c r="E831" s="3" t="s">
        <v>1588</v>
      </c>
      <c r="F831" s="3" t="s">
        <v>1589</v>
      </c>
      <c r="G831" s="49"/>
      <c r="H831" s="46">
        <v>42277</v>
      </c>
      <c r="I831" s="13">
        <v>2015</v>
      </c>
      <c r="J831" s="16" t="s">
        <v>12</v>
      </c>
      <c r="K831" s="16" t="s">
        <v>62</v>
      </c>
      <c r="L831" s="3" t="s">
        <v>130</v>
      </c>
      <c r="M831" s="3" t="s">
        <v>586</v>
      </c>
      <c r="N831" s="3" t="s">
        <v>406</v>
      </c>
    </row>
    <row r="832" spans="1:14" x14ac:dyDescent="0.3">
      <c r="A832" s="36" t="s">
        <v>37</v>
      </c>
      <c r="B832" s="13">
        <v>111</v>
      </c>
      <c r="C832" s="48" t="str">
        <f>HYPERLINK("https://uscode.house.gov/statutes/pl/111/314.pdf", "P.L. 111-314")</f>
        <v>P.L. 111-314</v>
      </c>
      <c r="D832" s="3" t="s">
        <v>1592</v>
      </c>
      <c r="F832" s="3" t="s">
        <v>1593</v>
      </c>
      <c r="G832" s="48" t="str">
        <f>HYPERLINK("https://uscode.house.gov/view.xhtml?req=granuleid:USC-prelim-title51-section50921&amp;num=0&amp;edition=prelim", "51 U.S.C. 50921")</f>
        <v>51 U.S.C. 50921</v>
      </c>
      <c r="H832" s="46">
        <v>40086</v>
      </c>
      <c r="I832" s="13">
        <v>2009</v>
      </c>
      <c r="J832" s="47">
        <v>13440000</v>
      </c>
      <c r="K832" s="47">
        <v>37854000</v>
      </c>
      <c r="L832" s="3" t="s">
        <v>135</v>
      </c>
      <c r="M832" s="3" t="s">
        <v>148</v>
      </c>
      <c r="N832" s="3" t="s">
        <v>158</v>
      </c>
    </row>
    <row r="833" spans="1:14" x14ac:dyDescent="0.3">
      <c r="A833" s="36" t="s">
        <v>37</v>
      </c>
      <c r="B833" s="13">
        <v>111</v>
      </c>
      <c r="C833" s="48" t="str">
        <f>HYPERLINK("https://uscode.house.gov/statutes/pl/111/296.pdf", "P.L. 111-296")</f>
        <v>P.L. 111-296</v>
      </c>
      <c r="D833" s="3" t="s">
        <v>1580</v>
      </c>
      <c r="E833" s="3" t="s">
        <v>1590</v>
      </c>
      <c r="F833" s="3" t="s">
        <v>1591</v>
      </c>
      <c r="G833" s="49"/>
      <c r="H833" s="46">
        <v>42277</v>
      </c>
      <c r="I833" s="13">
        <v>2015</v>
      </c>
      <c r="J833" s="16" t="s">
        <v>12</v>
      </c>
      <c r="K833" s="16" t="s">
        <v>62</v>
      </c>
      <c r="L833" s="3" t="s">
        <v>130</v>
      </c>
      <c r="M833" s="3" t="s">
        <v>586</v>
      </c>
      <c r="N833" s="3" t="s">
        <v>406</v>
      </c>
    </row>
    <row r="834" spans="1:14" x14ac:dyDescent="0.3">
      <c r="A834" s="36" t="s">
        <v>37</v>
      </c>
      <c r="B834" s="13">
        <v>111</v>
      </c>
      <c r="C834" s="48" t="str">
        <f>HYPERLINK("https://uscode.house.gov/statutes/pl/111/320.pdf", "P.L. 111-320")</f>
        <v>P.L. 111-320</v>
      </c>
      <c r="D834" s="3" t="s">
        <v>1594</v>
      </c>
      <c r="E834" s="3" t="s">
        <v>656</v>
      </c>
      <c r="F834" s="3" t="s">
        <v>1595</v>
      </c>
      <c r="G834" s="48" t="str">
        <f>HYPERLINK("https://uscode.house.gov/view.xhtml?req=granuleid:USC-prelim-title42-section5116i&amp;num=0&amp;edition=prelim", "42 U.S.C. 5116i")</f>
        <v>42 U.S.C. 5116i</v>
      </c>
      <c r="H834" s="46">
        <v>42277</v>
      </c>
      <c r="I834" s="13">
        <v>2015</v>
      </c>
      <c r="J834" s="16" t="s">
        <v>12</v>
      </c>
      <c r="K834" s="47">
        <v>70660000</v>
      </c>
      <c r="L834" s="3" t="s">
        <v>130</v>
      </c>
      <c r="M834" s="3" t="s">
        <v>71</v>
      </c>
      <c r="N834" s="3" t="s">
        <v>72</v>
      </c>
    </row>
    <row r="835" spans="1:14" x14ac:dyDescent="0.3">
      <c r="A835" s="36" t="s">
        <v>37</v>
      </c>
      <c r="B835" s="13">
        <v>111</v>
      </c>
      <c r="C835" s="48" t="str">
        <f>HYPERLINK("https://uscode.house.gov/statutes/pl/111/320.pdf", "P.L. 111-320")</f>
        <v>P.L. 111-320</v>
      </c>
      <c r="D835" s="3" t="s">
        <v>1594</v>
      </c>
      <c r="E835" s="3" t="s">
        <v>171</v>
      </c>
      <c r="F835" s="3" t="s">
        <v>1596</v>
      </c>
      <c r="G835" s="48" t="str">
        <f>HYPERLINK("https://uscode.house.gov/view.xhtml?req=granuleid:USC-prelim-title42-section10403&amp;num=0&amp;edition=prelim", "42 U.S.C. 10403(b)")</f>
        <v>42 U.S.C. 10403(b)</v>
      </c>
      <c r="H835" s="46">
        <v>42277</v>
      </c>
      <c r="I835" s="13">
        <v>2015</v>
      </c>
      <c r="J835" s="47">
        <v>3500000</v>
      </c>
      <c r="K835" s="47">
        <v>20500000</v>
      </c>
      <c r="L835" s="3" t="s">
        <v>130</v>
      </c>
      <c r="M835" s="3" t="s">
        <v>71</v>
      </c>
      <c r="N835" s="3" t="s">
        <v>72</v>
      </c>
    </row>
    <row r="836" spans="1:14" x14ac:dyDescent="0.3">
      <c r="A836" s="36" t="s">
        <v>37</v>
      </c>
      <c r="B836" s="13">
        <v>111</v>
      </c>
      <c r="C836" s="48" t="str">
        <f>HYPERLINK("https://uscode.house.gov/statutes/pl/111/320.pdf", "P.L. 111-320")</f>
        <v>P.L. 111-320</v>
      </c>
      <c r="D836" s="3" t="s">
        <v>1594</v>
      </c>
      <c r="E836" s="3" t="s">
        <v>171</v>
      </c>
      <c r="F836" s="3" t="s">
        <v>1597</v>
      </c>
      <c r="G836" s="48" t="str">
        <f>HYPERLINK("https://uscode.house.gov/view.xhtml?req=granuleid:USC-prelim-title42-section5115&amp;num=0&amp;edition=prelim", "42 U.S.C. 5115(a)")</f>
        <v>42 U.S.C. 5115(a)</v>
      </c>
      <c r="H836" s="46">
        <v>42277</v>
      </c>
      <c r="I836" s="13">
        <v>2015</v>
      </c>
      <c r="J836" s="16" t="s">
        <v>12</v>
      </c>
      <c r="K836" s="47">
        <v>51000000</v>
      </c>
      <c r="L836" s="3" t="s">
        <v>130</v>
      </c>
      <c r="M836" s="3" t="s">
        <v>71</v>
      </c>
      <c r="N836" s="3" t="s">
        <v>72</v>
      </c>
    </row>
    <row r="837" spans="1:14" x14ac:dyDescent="0.3">
      <c r="A837" s="36" t="s">
        <v>37</v>
      </c>
      <c r="B837" s="13">
        <v>111</v>
      </c>
      <c r="C837" s="48" t="str">
        <f>HYPERLINK("https://uscode.house.gov/statutes/pl/111/320.pdf", "P.L. 111-320")</f>
        <v>P.L. 111-320</v>
      </c>
      <c r="D837" s="3" t="s">
        <v>1594</v>
      </c>
      <c r="E837" s="3" t="s">
        <v>1598</v>
      </c>
      <c r="F837" s="3" t="s">
        <v>1599</v>
      </c>
      <c r="G837" s="48" t="str">
        <f>HYPERLINK("https://uscode.house.gov/view.xhtml?req=granuleid:USC-prelim-title42-section5106h&amp;num=0&amp;edition=prelim", "42 U.S.C. 5106h(a)(1)")</f>
        <v>42 U.S.C. 5106h(a)(1)</v>
      </c>
      <c r="H837" s="46">
        <v>42277</v>
      </c>
      <c r="I837" s="13">
        <v>2015</v>
      </c>
      <c r="J837" s="16" t="s">
        <v>12</v>
      </c>
      <c r="K837" s="47">
        <v>105091000</v>
      </c>
      <c r="L837" s="3" t="s">
        <v>130</v>
      </c>
      <c r="M837" s="3" t="s">
        <v>71</v>
      </c>
      <c r="N837" s="3" t="s">
        <v>72</v>
      </c>
    </row>
    <row r="838" spans="1:14" x14ac:dyDescent="0.3">
      <c r="A838" s="36" t="s">
        <v>37</v>
      </c>
      <c r="B838" s="13">
        <v>111</v>
      </c>
      <c r="C838" s="48" t="str">
        <f>HYPERLINK("https://uscode.house.gov/statutes/pl/111/320.pdf", "P.L. 111-320")</f>
        <v>P.L. 111-320</v>
      </c>
      <c r="D838" s="3" t="s">
        <v>1594</v>
      </c>
      <c r="E838" s="3" t="s">
        <v>1600</v>
      </c>
      <c r="F838" s="3" t="s">
        <v>1601</v>
      </c>
      <c r="G838" s="48" t="str">
        <f>HYPERLINK("https://uscode.house.gov/view.xhtml?req=granuleid:USC-prelim-title42-section10403&amp;num=0&amp;edition=prelim", "42 U.S.C. 10403(a)(1)")</f>
        <v>42 U.S.C. 10403(a)(1)</v>
      </c>
      <c r="H838" s="46">
        <v>42277</v>
      </c>
      <c r="I838" s="13">
        <v>2015</v>
      </c>
      <c r="J838" s="47">
        <v>175000000</v>
      </c>
      <c r="K838" s="47">
        <v>240000000</v>
      </c>
      <c r="L838" s="3" t="s">
        <v>130</v>
      </c>
      <c r="M838" s="3" t="s">
        <v>71</v>
      </c>
      <c r="N838" s="3" t="s">
        <v>72</v>
      </c>
    </row>
    <row r="839" spans="1:14" x14ac:dyDescent="0.3">
      <c r="A839" s="36" t="s">
        <v>37</v>
      </c>
      <c r="B839" s="13">
        <v>111</v>
      </c>
      <c r="C839" s="48" t="str">
        <f>HYPERLINK("https://uscode.house.gov/statutes/pl/111/324.pdf", "P.L. 111-324")</f>
        <v>P.L. 111-324</v>
      </c>
      <c r="D839" s="3" t="s">
        <v>1604</v>
      </c>
      <c r="E839" s="3" t="s">
        <v>1605</v>
      </c>
      <c r="F839" s="3" t="s">
        <v>1606</v>
      </c>
      <c r="G839" s="48" t="str">
        <f>HYPERLINK("https://uscode.house.gov/view.xhtml?req=granuleid:USC-prelim-title42-section247b-17&amp;num=0&amp;edition=prelim", "42 U.S.C. 247b-17(d)(6)")</f>
        <v>42 U.S.C. 247b-17(d)(6)</v>
      </c>
      <c r="H839" s="46">
        <v>41912</v>
      </c>
      <c r="I839" s="13">
        <v>2014</v>
      </c>
      <c r="J839" s="16" t="s">
        <v>12</v>
      </c>
      <c r="K839" s="47">
        <v>11500000</v>
      </c>
      <c r="L839" s="3" t="s">
        <v>60</v>
      </c>
      <c r="M839" s="3" t="s">
        <v>71</v>
      </c>
      <c r="N839" s="3" t="s">
        <v>72</v>
      </c>
    </row>
    <row r="840" spans="1:14" x14ac:dyDescent="0.3">
      <c r="A840" s="36" t="s">
        <v>37</v>
      </c>
      <c r="B840" s="13">
        <v>111</v>
      </c>
      <c r="C840" s="48" t="str">
        <f>HYPERLINK("https://uscode.house.gov/statutes/pl/111/357.pdf", "P.L. 111-357")</f>
        <v>P.L. 111-357</v>
      </c>
      <c r="D840" s="3" t="s">
        <v>1607</v>
      </c>
      <c r="E840" s="3" t="s">
        <v>296</v>
      </c>
      <c r="F840" s="3" t="s">
        <v>1608</v>
      </c>
      <c r="G840" s="48" t="str">
        <f>HYPERLINK("https://uscode.house.gov/view.xhtml?req=granuleid:USC-prelim-title16-section742f-1&amp;num=0&amp;edition=prelim", "16 U.S.C. 742f-1(3)")</f>
        <v>16 U.S.C. 742f-1(3)</v>
      </c>
      <c r="H840" s="46">
        <v>41912</v>
      </c>
      <c r="I840" s="13">
        <v>2014</v>
      </c>
      <c r="J840" s="47">
        <v>2000000</v>
      </c>
      <c r="K840" s="16" t="s">
        <v>62</v>
      </c>
      <c r="L840" s="3" t="s">
        <v>47</v>
      </c>
      <c r="M840" s="3" t="s">
        <v>67</v>
      </c>
      <c r="N840" s="3" t="s">
        <v>49</v>
      </c>
    </row>
    <row r="841" spans="1:14" x14ac:dyDescent="0.3">
      <c r="A841" s="36" t="s">
        <v>37</v>
      </c>
      <c r="B841" s="13">
        <v>111</v>
      </c>
      <c r="C841" s="48" t="str">
        <f>HYPERLINK("https://uscode.house.gov/statutes/pl/111/358.pdf", "P.L. 111-358")</f>
        <v>P.L. 111-358</v>
      </c>
      <c r="D841" s="3" t="s">
        <v>1609</v>
      </c>
      <c r="E841" s="3" t="s">
        <v>1610</v>
      </c>
      <c r="F841" s="3" t="s">
        <v>1611</v>
      </c>
      <c r="G841" s="49"/>
      <c r="H841" s="46">
        <v>41547</v>
      </c>
      <c r="I841" s="13">
        <v>2013</v>
      </c>
      <c r="J841" s="47">
        <v>25000000</v>
      </c>
      <c r="K841" s="16" t="s">
        <v>62</v>
      </c>
      <c r="L841" s="3" t="s">
        <v>135</v>
      </c>
      <c r="M841" s="3" t="s">
        <v>148</v>
      </c>
      <c r="N841" s="3" t="s">
        <v>58</v>
      </c>
    </row>
    <row r="842" spans="1:14" x14ac:dyDescent="0.3">
      <c r="A842" s="36" t="s">
        <v>37</v>
      </c>
      <c r="B842" s="13">
        <v>111</v>
      </c>
      <c r="C842" s="48" t="str">
        <f>HYPERLINK("https://uscode.house.gov/statutes/pl/111/320.pdf", "P.L. 111-320")</f>
        <v>P.L. 111-320</v>
      </c>
      <c r="D842" s="3" t="s">
        <v>1594</v>
      </c>
      <c r="E842" s="3" t="s">
        <v>1602</v>
      </c>
      <c r="F842" s="3" t="s">
        <v>1603</v>
      </c>
      <c r="G842" s="48" t="str">
        <f>HYPERLINK("https://uscode.house.gov/view.xhtml?req=granuleid:USC-prelim-title42-section10403&amp;num=0&amp;edition=prelim", "42 U.S.C. 10403(c)")</f>
        <v>42 U.S.C. 10403(c)</v>
      </c>
      <c r="H842" s="46">
        <v>42277</v>
      </c>
      <c r="I842" s="13">
        <v>2015</v>
      </c>
      <c r="J842" s="47">
        <v>6000000</v>
      </c>
      <c r="K842" s="47">
        <v>7500000</v>
      </c>
      <c r="L842" s="3" t="s">
        <v>130</v>
      </c>
      <c r="M842" s="3" t="s">
        <v>71</v>
      </c>
      <c r="N842" s="3" t="s">
        <v>72</v>
      </c>
    </row>
    <row r="843" spans="1:14" x14ac:dyDescent="0.3">
      <c r="A843" s="36" t="s">
        <v>37</v>
      </c>
      <c r="B843" s="13">
        <v>111</v>
      </c>
      <c r="C843" s="48" t="str">
        <f>HYPERLINK("https://uscode.house.gov/statutes/pl/111/152.pdf", "P.L. 111-152")</f>
        <v>P.L. 111-152</v>
      </c>
      <c r="D843" s="3" t="s">
        <v>1487</v>
      </c>
      <c r="E843" s="3" t="s">
        <v>1488</v>
      </c>
      <c r="F843" s="3" t="s">
        <v>1489</v>
      </c>
      <c r="G843" s="48" t="str">
        <f>HYPERLINK("https://uscode.house.gov/view.xhtml?req=granuleid:USC-prelim-title20-section1070a&amp;num=0&amp;edition=prelim", "20 U.S.C. 1070a(a)(1)")</f>
        <v>20 U.S.C. 1070a(a)(1)</v>
      </c>
      <c r="H843" s="46">
        <v>43008</v>
      </c>
      <c r="I843" s="13">
        <v>2017</v>
      </c>
      <c r="J843" s="16" t="s">
        <v>12</v>
      </c>
      <c r="K843" s="47">
        <v>22475352000</v>
      </c>
      <c r="L843" s="3" t="s">
        <v>130</v>
      </c>
      <c r="M843" s="3" t="s">
        <v>71</v>
      </c>
      <c r="N843" s="3" t="s">
        <v>72</v>
      </c>
    </row>
    <row r="844" spans="1:14" x14ac:dyDescent="0.3">
      <c r="A844" s="36" t="s">
        <v>37</v>
      </c>
      <c r="B844" s="13">
        <v>111</v>
      </c>
      <c r="C844" s="48" t="str">
        <f t="shared" ref="C844:C851" si="31">HYPERLINK("https://uscode.house.gov/statutes/pl/111/358.pdf", "P.L. 111-358")</f>
        <v>P.L. 111-358</v>
      </c>
      <c r="D844" s="3" t="s">
        <v>1609</v>
      </c>
      <c r="E844" s="3" t="s">
        <v>1616</v>
      </c>
      <c r="F844" s="3" t="s">
        <v>1617</v>
      </c>
      <c r="G844" s="49"/>
      <c r="H844" s="46">
        <v>41547</v>
      </c>
      <c r="I844" s="13">
        <v>2013</v>
      </c>
      <c r="J844" s="47">
        <v>10400000</v>
      </c>
      <c r="K844" s="16" t="s">
        <v>62</v>
      </c>
      <c r="L844" s="3" t="s">
        <v>135</v>
      </c>
      <c r="M844" s="3" t="s">
        <v>148</v>
      </c>
      <c r="N844" s="3" t="s">
        <v>58</v>
      </c>
    </row>
    <row r="845" spans="1:14" x14ac:dyDescent="0.3">
      <c r="A845" s="36" t="s">
        <v>37</v>
      </c>
      <c r="B845" s="13">
        <v>111</v>
      </c>
      <c r="C845" s="48" t="str">
        <f t="shared" si="31"/>
        <v>P.L. 111-358</v>
      </c>
      <c r="D845" s="3" t="s">
        <v>1609</v>
      </c>
      <c r="E845" s="3" t="s">
        <v>1618</v>
      </c>
      <c r="F845" s="3" t="s">
        <v>1619</v>
      </c>
      <c r="G845" s="49"/>
      <c r="H845" s="46">
        <v>41547</v>
      </c>
      <c r="I845" s="13">
        <v>2013</v>
      </c>
      <c r="J845" s="47">
        <v>8750000</v>
      </c>
      <c r="K845" s="16" t="s">
        <v>62</v>
      </c>
      <c r="L845" s="3" t="s">
        <v>135</v>
      </c>
      <c r="M845" s="3" t="s">
        <v>148</v>
      </c>
      <c r="N845" s="3" t="s">
        <v>58</v>
      </c>
    </row>
    <row r="846" spans="1:14" x14ac:dyDescent="0.3">
      <c r="A846" s="36" t="s">
        <v>37</v>
      </c>
      <c r="B846" s="13">
        <v>111</v>
      </c>
      <c r="C846" s="48" t="str">
        <f t="shared" si="31"/>
        <v>P.L. 111-358</v>
      </c>
      <c r="D846" s="3" t="s">
        <v>1609</v>
      </c>
      <c r="E846" s="3" t="s">
        <v>978</v>
      </c>
      <c r="F846" s="3" t="s">
        <v>1620</v>
      </c>
      <c r="G846" s="49"/>
      <c r="H846" s="46">
        <v>41547</v>
      </c>
      <c r="I846" s="13">
        <v>2013</v>
      </c>
      <c r="J846" s="47">
        <v>10400000</v>
      </c>
      <c r="K846" s="16" t="s">
        <v>62</v>
      </c>
      <c r="L846" s="3" t="s">
        <v>135</v>
      </c>
      <c r="M846" s="3" t="s">
        <v>148</v>
      </c>
      <c r="N846" s="3" t="s">
        <v>58</v>
      </c>
    </row>
    <row r="847" spans="1:14" x14ac:dyDescent="0.3">
      <c r="A847" s="36" t="s">
        <v>37</v>
      </c>
      <c r="B847" s="13">
        <v>111</v>
      </c>
      <c r="C847" s="48" t="str">
        <f t="shared" si="31"/>
        <v>P.L. 111-358</v>
      </c>
      <c r="D847" s="3" t="s">
        <v>1609</v>
      </c>
      <c r="E847" s="3" t="s">
        <v>1621</v>
      </c>
      <c r="F847" s="3" t="s">
        <v>1622</v>
      </c>
      <c r="G847" s="49"/>
      <c r="H847" s="46">
        <v>41547</v>
      </c>
      <c r="I847" s="13">
        <v>2013</v>
      </c>
      <c r="J847" s="47">
        <v>25000000</v>
      </c>
      <c r="K847" s="16" t="s">
        <v>62</v>
      </c>
      <c r="L847" s="3" t="s">
        <v>135</v>
      </c>
      <c r="M847" s="3" t="s">
        <v>148</v>
      </c>
      <c r="N847" s="3" t="s">
        <v>58</v>
      </c>
    </row>
    <row r="848" spans="1:14" x14ac:dyDescent="0.3">
      <c r="A848" s="36" t="s">
        <v>37</v>
      </c>
      <c r="B848" s="13">
        <v>111</v>
      </c>
      <c r="C848" s="48" t="str">
        <f t="shared" si="31"/>
        <v>P.L. 111-358</v>
      </c>
      <c r="D848" s="3" t="s">
        <v>1609</v>
      </c>
      <c r="E848" s="3" t="s">
        <v>1623</v>
      </c>
      <c r="F848" s="3" t="s">
        <v>1624</v>
      </c>
      <c r="G848" s="49"/>
      <c r="H848" s="46">
        <v>41547</v>
      </c>
      <c r="I848" s="13">
        <v>2013</v>
      </c>
      <c r="J848" s="47">
        <v>21900000</v>
      </c>
      <c r="K848" s="16" t="s">
        <v>62</v>
      </c>
      <c r="L848" s="3" t="s">
        <v>135</v>
      </c>
      <c r="M848" s="3" t="s">
        <v>148</v>
      </c>
      <c r="N848" s="3" t="s">
        <v>58</v>
      </c>
    </row>
    <row r="849" spans="1:14" x14ac:dyDescent="0.3">
      <c r="A849" s="36" t="s">
        <v>37</v>
      </c>
      <c r="B849" s="13">
        <v>111</v>
      </c>
      <c r="C849" s="48" t="str">
        <f t="shared" si="31"/>
        <v>P.L. 111-358</v>
      </c>
      <c r="D849" s="3" t="s">
        <v>1609</v>
      </c>
      <c r="E849" s="3" t="s">
        <v>1625</v>
      </c>
      <c r="F849" s="3" t="s">
        <v>1626</v>
      </c>
      <c r="G849" s="49"/>
      <c r="H849" s="46">
        <v>41547</v>
      </c>
      <c r="I849" s="13">
        <v>2013</v>
      </c>
      <c r="J849" s="47">
        <v>33000000</v>
      </c>
      <c r="K849" s="16" t="s">
        <v>62</v>
      </c>
      <c r="L849" s="3" t="s">
        <v>135</v>
      </c>
      <c r="M849" s="3" t="s">
        <v>148</v>
      </c>
      <c r="N849" s="3" t="s">
        <v>58</v>
      </c>
    </row>
    <row r="850" spans="1:14" x14ac:dyDescent="0.3">
      <c r="A850" s="36" t="s">
        <v>37</v>
      </c>
      <c r="B850" s="13">
        <v>111</v>
      </c>
      <c r="C850" s="48" t="str">
        <f t="shared" si="31"/>
        <v>P.L. 111-358</v>
      </c>
      <c r="D850" s="3" t="s">
        <v>1609</v>
      </c>
      <c r="E850" s="3" t="s">
        <v>1627</v>
      </c>
      <c r="F850" s="3" t="s">
        <v>1628</v>
      </c>
      <c r="G850" s="48" t="str">
        <f>HYPERLINK("https://uscode.house.gov/view.xhtml?req=granuleid:USC-prelim-title20-section9906&amp;num=0&amp;edition=prelim", "20 U.S.C. 9906")</f>
        <v>20 U.S.C. 9906</v>
      </c>
      <c r="H850" s="46">
        <v>41547</v>
      </c>
      <c r="I850" s="13">
        <v>2013</v>
      </c>
      <c r="J850" s="47">
        <v>10000000</v>
      </c>
      <c r="K850" s="16" t="s">
        <v>62</v>
      </c>
      <c r="L850" s="3" t="s">
        <v>135</v>
      </c>
      <c r="M850" s="3" t="s">
        <v>148</v>
      </c>
      <c r="N850" s="3" t="s">
        <v>43</v>
      </c>
    </row>
    <row r="851" spans="1:14" x14ac:dyDescent="0.3">
      <c r="A851" s="36" t="s">
        <v>37</v>
      </c>
      <c r="B851" s="13">
        <v>111</v>
      </c>
      <c r="C851" s="48" t="str">
        <f t="shared" si="31"/>
        <v>P.L. 111-358</v>
      </c>
      <c r="D851" s="3" t="s">
        <v>1609</v>
      </c>
      <c r="E851" s="3" t="s">
        <v>1100</v>
      </c>
      <c r="F851" s="3" t="s">
        <v>1629</v>
      </c>
      <c r="G851" s="49"/>
      <c r="H851" s="46">
        <v>41547</v>
      </c>
      <c r="I851" s="13">
        <v>2013</v>
      </c>
      <c r="J851" s="47">
        <v>20000000</v>
      </c>
      <c r="K851" s="16" t="s">
        <v>62</v>
      </c>
      <c r="L851" s="3" t="s">
        <v>135</v>
      </c>
      <c r="M851" s="3" t="s">
        <v>148</v>
      </c>
      <c r="N851" s="3" t="s">
        <v>43</v>
      </c>
    </row>
    <row r="852" spans="1:14" x14ac:dyDescent="0.3">
      <c r="A852" s="36" t="s">
        <v>37</v>
      </c>
      <c r="B852" s="13">
        <v>111</v>
      </c>
      <c r="C852" s="48" t="str">
        <f>HYPERLINK("https://uscode.house.gov/statutes/pl/111/374.pdf", "P.L. 111-374")</f>
        <v>P.L. 111-374</v>
      </c>
      <c r="D852" s="3" t="s">
        <v>1630</v>
      </c>
      <c r="E852" s="3" t="s">
        <v>105</v>
      </c>
      <c r="F852" s="3" t="s">
        <v>1631</v>
      </c>
      <c r="G852" s="49"/>
      <c r="H852" s="46">
        <v>42277</v>
      </c>
      <c r="I852" s="13">
        <v>2015</v>
      </c>
      <c r="J852" s="47">
        <v>300000000</v>
      </c>
      <c r="K852" s="47">
        <v>360000000</v>
      </c>
      <c r="L852" s="3" t="s">
        <v>156</v>
      </c>
      <c r="M852" s="3" t="s">
        <v>157</v>
      </c>
      <c r="N852" s="3" t="s">
        <v>158</v>
      </c>
    </row>
    <row r="853" spans="1:14" x14ac:dyDescent="0.3">
      <c r="A853" s="36" t="s">
        <v>37</v>
      </c>
      <c r="B853" s="13">
        <v>111</v>
      </c>
      <c r="C853" s="48" t="str">
        <f>HYPERLINK("https://uscode.house.gov/statutes/pl/111/383.pdf", "P.L. 111-383")</f>
        <v>P.L. 111-383</v>
      </c>
      <c r="D853" s="3" t="s">
        <v>1632</v>
      </c>
      <c r="E853" s="3" t="s">
        <v>1633</v>
      </c>
      <c r="F853" s="3" t="s">
        <v>1634</v>
      </c>
      <c r="G853" s="49"/>
      <c r="H853" s="46">
        <v>45930</v>
      </c>
      <c r="I853" s="13">
        <v>2025</v>
      </c>
      <c r="J853" s="47">
        <v>222000000</v>
      </c>
      <c r="K853" s="16" t="s">
        <v>62</v>
      </c>
      <c r="L853" s="3" t="s">
        <v>1635</v>
      </c>
      <c r="M853" s="3" t="s">
        <v>1636</v>
      </c>
      <c r="N853" s="3" t="s">
        <v>158</v>
      </c>
    </row>
    <row r="854" spans="1:14" x14ac:dyDescent="0.3">
      <c r="A854" s="36" t="s">
        <v>37</v>
      </c>
      <c r="B854" s="13">
        <v>112</v>
      </c>
      <c r="C854" s="48" t="str">
        <f t="shared" ref="C854:C859" si="32">HYPERLINK("https://uscode.house.gov/statutes/pl/112/17.pdf", "P.L. 112-17")</f>
        <v>P.L. 112-17</v>
      </c>
      <c r="D854" s="3" t="s">
        <v>1637</v>
      </c>
      <c r="F854" s="3" t="s">
        <v>1638</v>
      </c>
      <c r="G854" s="48" t="str">
        <f>HYPERLINK("https://uscode.house.gov/view.xhtml?req=granuleid:USC-prelim-title15-section631&amp;num=0&amp;edition=prelim", "15 U.S.C. 631(note)(e)")</f>
        <v>15 U.S.C. 631(note)(e)</v>
      </c>
      <c r="H854" s="46">
        <v>40755</v>
      </c>
      <c r="I854" s="13">
        <v>2011</v>
      </c>
      <c r="J854" s="16" t="s">
        <v>12</v>
      </c>
      <c r="K854" s="47">
        <v>1363000000</v>
      </c>
      <c r="L854" s="3" t="s">
        <v>1095</v>
      </c>
      <c r="M854" s="3" t="s">
        <v>1096</v>
      </c>
      <c r="N854" s="3" t="s">
        <v>55</v>
      </c>
    </row>
    <row r="855" spans="1:14" x14ac:dyDescent="0.3">
      <c r="A855" s="36" t="s">
        <v>37</v>
      </c>
      <c r="B855" s="13">
        <v>112</v>
      </c>
      <c r="C855" s="48" t="str">
        <f t="shared" si="32"/>
        <v>P.L. 112-17</v>
      </c>
      <c r="D855" s="3" t="s">
        <v>1637</v>
      </c>
      <c r="F855" s="3" t="s">
        <v>1639</v>
      </c>
      <c r="G855" s="49"/>
      <c r="H855" s="46">
        <v>40755</v>
      </c>
      <c r="I855" s="13">
        <v>2011</v>
      </c>
      <c r="J855" s="47">
        <v>135000000</v>
      </c>
      <c r="K855" s="47">
        <v>140000000</v>
      </c>
      <c r="L855" s="3" t="s">
        <v>1095</v>
      </c>
      <c r="M855" s="3" t="s">
        <v>1096</v>
      </c>
      <c r="N855" s="3" t="s">
        <v>55</v>
      </c>
    </row>
    <row r="856" spans="1:14" x14ac:dyDescent="0.3">
      <c r="A856" s="36" t="s">
        <v>37</v>
      </c>
      <c r="B856" s="13">
        <v>112</v>
      </c>
      <c r="C856" s="48" t="str">
        <f t="shared" si="32"/>
        <v>P.L. 112-17</v>
      </c>
      <c r="D856" s="3" t="s">
        <v>1637</v>
      </c>
      <c r="F856" s="3" t="s">
        <v>1640</v>
      </c>
      <c r="G856" s="49"/>
      <c r="H856" s="46">
        <v>40755</v>
      </c>
      <c r="I856" s="13">
        <v>2011</v>
      </c>
      <c r="J856" s="47">
        <v>5000000</v>
      </c>
      <c r="K856" s="16" t="s">
        <v>62</v>
      </c>
      <c r="L856" s="3" t="s">
        <v>1095</v>
      </c>
      <c r="M856" s="3" t="s">
        <v>1096</v>
      </c>
      <c r="N856" s="3" t="s">
        <v>55</v>
      </c>
    </row>
    <row r="857" spans="1:14" x14ac:dyDescent="0.3">
      <c r="A857" s="36" t="s">
        <v>37</v>
      </c>
      <c r="B857" s="13">
        <v>112</v>
      </c>
      <c r="C857" s="48" t="str">
        <f t="shared" si="32"/>
        <v>P.L. 112-17</v>
      </c>
      <c r="D857" s="3" t="s">
        <v>1637</v>
      </c>
      <c r="F857" s="3" t="s">
        <v>1641</v>
      </c>
      <c r="G857" s="49"/>
      <c r="H857" s="46">
        <v>40755</v>
      </c>
      <c r="I857" s="13">
        <v>2011</v>
      </c>
      <c r="J857" s="47">
        <v>1500000</v>
      </c>
      <c r="K857" s="16" t="s">
        <v>62</v>
      </c>
      <c r="L857" s="3" t="s">
        <v>1095</v>
      </c>
      <c r="M857" s="3" t="s">
        <v>1096</v>
      </c>
      <c r="N857" s="3" t="s">
        <v>55</v>
      </c>
    </row>
    <row r="858" spans="1:14" x14ac:dyDescent="0.3">
      <c r="A858" s="36" t="s">
        <v>37</v>
      </c>
      <c r="B858" s="13">
        <v>112</v>
      </c>
      <c r="C858" s="48" t="str">
        <f t="shared" si="32"/>
        <v>P.L. 112-17</v>
      </c>
      <c r="D858" s="3" t="s">
        <v>1637</v>
      </c>
      <c r="F858" s="3" t="s">
        <v>1642</v>
      </c>
      <c r="G858" s="49"/>
      <c r="H858" s="46">
        <v>40755</v>
      </c>
      <c r="I858" s="13">
        <v>2011</v>
      </c>
      <c r="J858" s="47">
        <v>2000000</v>
      </c>
      <c r="K858" s="47">
        <v>4000000</v>
      </c>
      <c r="L858" s="3" t="s">
        <v>1095</v>
      </c>
      <c r="M858" s="3" t="s">
        <v>1096</v>
      </c>
      <c r="N858" s="3" t="s">
        <v>55</v>
      </c>
    </row>
    <row r="859" spans="1:14" x14ac:dyDescent="0.3">
      <c r="A859" s="36" t="s">
        <v>37</v>
      </c>
      <c r="B859" s="13">
        <v>112</v>
      </c>
      <c r="C859" s="48" t="str">
        <f t="shared" si="32"/>
        <v>P.L. 112-17</v>
      </c>
      <c r="D859" s="3" t="s">
        <v>1637</v>
      </c>
      <c r="F859" s="3" t="s">
        <v>1643</v>
      </c>
      <c r="G859" s="49"/>
      <c r="H859" s="46">
        <v>40755</v>
      </c>
      <c r="I859" s="13">
        <v>2011</v>
      </c>
      <c r="J859" s="47">
        <v>10000000</v>
      </c>
      <c r="K859" s="47">
        <v>4000000</v>
      </c>
      <c r="L859" s="3" t="s">
        <v>1095</v>
      </c>
      <c r="M859" s="3" t="s">
        <v>1096</v>
      </c>
      <c r="N859" s="3" t="s">
        <v>55</v>
      </c>
    </row>
    <row r="860" spans="1:14" x14ac:dyDescent="0.3">
      <c r="A860" s="36" t="s">
        <v>37</v>
      </c>
      <c r="B860" s="13">
        <v>112</v>
      </c>
      <c r="C860" s="48" t="str">
        <f>HYPERLINK("https://uscode.house.gov/statutes/pl/112/37.pdf", "P.L. 112-37")</f>
        <v>P.L. 112-37</v>
      </c>
      <c r="D860" s="3" t="s">
        <v>1644</v>
      </c>
      <c r="E860" s="3" t="s">
        <v>1645</v>
      </c>
      <c r="F860" s="3" t="s">
        <v>1646</v>
      </c>
      <c r="G860" s="49"/>
      <c r="H860" s="46">
        <v>41182</v>
      </c>
      <c r="I860" s="13">
        <v>2012</v>
      </c>
      <c r="J860" s="47">
        <v>1000000</v>
      </c>
      <c r="K860" s="16" t="s">
        <v>62</v>
      </c>
      <c r="L860" s="3" t="s">
        <v>265</v>
      </c>
      <c r="M860" s="3" t="s">
        <v>266</v>
      </c>
      <c r="N860" s="3" t="s">
        <v>267</v>
      </c>
    </row>
    <row r="861" spans="1:14" x14ac:dyDescent="0.3">
      <c r="A861" s="36" t="s">
        <v>37</v>
      </c>
      <c r="B861" s="13">
        <v>112</v>
      </c>
      <c r="C861" s="48" t="str">
        <f>HYPERLINK("https://uscode.house.gov/statutes/pl/112/56.pdf", "P.L. 112-56")</f>
        <v>P.L. 112-56</v>
      </c>
      <c r="D861" s="3" t="s">
        <v>1647</v>
      </c>
      <c r="F861" s="3" t="s">
        <v>1648</v>
      </c>
      <c r="G861" s="48" t="str">
        <f>HYPERLINK("https://uscode.house.gov/view.xhtml?req=granuleid:USC-prelim-title38-section4104A&amp;num=0&amp;edition=prelim", "38 U.S.C. 4104A(e)")</f>
        <v>38 U.S.C. 4104A(e)</v>
      </c>
      <c r="H861" s="46">
        <v>41547</v>
      </c>
      <c r="I861" s="13">
        <v>2013</v>
      </c>
      <c r="J861" s="47">
        <v>4500000</v>
      </c>
      <c r="K861" s="16" t="s">
        <v>62</v>
      </c>
      <c r="L861" s="3" t="s">
        <v>265</v>
      </c>
      <c r="M861" s="3" t="s">
        <v>266</v>
      </c>
      <c r="N861" s="3" t="s">
        <v>267</v>
      </c>
    </row>
    <row r="862" spans="1:14" x14ac:dyDescent="0.3">
      <c r="A862" s="36" t="s">
        <v>37</v>
      </c>
      <c r="B862" s="13">
        <v>112</v>
      </c>
      <c r="C862" s="48" t="str">
        <f>HYPERLINK("https://uscode.house.gov/statutes/pl/112/95.pdf", "P.L. 112-95")</f>
        <v>P.L. 112-95</v>
      </c>
      <c r="D862" s="3" t="s">
        <v>1649</v>
      </c>
      <c r="F862" s="3" t="s">
        <v>1650</v>
      </c>
      <c r="G862" s="49"/>
      <c r="H862" s="46">
        <v>42277</v>
      </c>
      <c r="I862" s="13">
        <v>2015</v>
      </c>
      <c r="J862" s="47">
        <v>500000</v>
      </c>
      <c r="K862" s="47">
        <v>4000000</v>
      </c>
      <c r="L862" s="3" t="s">
        <v>135</v>
      </c>
      <c r="M862" s="3" t="s">
        <v>148</v>
      </c>
      <c r="N862" s="3" t="s">
        <v>158</v>
      </c>
    </row>
    <row r="863" spans="1:14" x14ac:dyDescent="0.3">
      <c r="A863" s="36" t="s">
        <v>37</v>
      </c>
      <c r="B863" s="13">
        <v>112</v>
      </c>
      <c r="C863" s="48" t="str">
        <f>HYPERLINK("https://uscode.house.gov/statutes/pl/112/141.pdf", "P.L. 112-141")</f>
        <v>P.L. 112-141</v>
      </c>
      <c r="D863" s="3" t="s">
        <v>1651</v>
      </c>
      <c r="E863" s="3" t="s">
        <v>1652</v>
      </c>
      <c r="F863" s="3" t="s">
        <v>1653</v>
      </c>
      <c r="G863" s="48" t="str">
        <f>HYPERLINK("https://uscode.house.gov/view.xhtml?req=granuleid:USC-prelim-title42-section4101b&amp;num=0&amp;edition=prelim", "42 U.S.C. 4101b(f)")</f>
        <v>42 U.S.C. 4101b(f)</v>
      </c>
      <c r="H863" s="46">
        <v>43008</v>
      </c>
      <c r="I863" s="13">
        <v>2017</v>
      </c>
      <c r="J863" s="47">
        <v>400000000</v>
      </c>
      <c r="K863" s="47">
        <v>312750000</v>
      </c>
      <c r="L863" s="3" t="s">
        <v>156</v>
      </c>
      <c r="M863" s="3" t="s">
        <v>230</v>
      </c>
      <c r="N863" s="3" t="s">
        <v>122</v>
      </c>
    </row>
    <row r="864" spans="1:14" x14ac:dyDescent="0.3">
      <c r="A864" s="36" t="s">
        <v>37</v>
      </c>
      <c r="B864" s="13">
        <v>112</v>
      </c>
      <c r="C864" s="48" t="str">
        <f>HYPERLINK("https://uscode.house.gov/statutes/pl/112/237.pdf", "P.L. 112-237")</f>
        <v>P.L. 112-237</v>
      </c>
      <c r="D864" s="3" t="s">
        <v>1654</v>
      </c>
      <c r="E864" s="3" t="s">
        <v>51</v>
      </c>
      <c r="F864" s="3" t="s">
        <v>1655</v>
      </c>
      <c r="G864" s="48" t="str">
        <f>HYPERLINK("https://uscode.house.gov/view.xhtml?req=granuleid:USC-prelim-title33-section1273&amp;num=0&amp;edition=prelim", "33 U.S.C. 1273(f)(1)")</f>
        <v>33 U.S.C. 1273(f)(1)</v>
      </c>
      <c r="H864" s="46">
        <v>43008</v>
      </c>
      <c r="I864" s="13">
        <v>2017</v>
      </c>
      <c r="J864" s="47">
        <v>978000</v>
      </c>
      <c r="K864" s="47">
        <v>2200000</v>
      </c>
      <c r="L864" s="3" t="s">
        <v>109</v>
      </c>
      <c r="M864" s="3" t="s">
        <v>67</v>
      </c>
      <c r="N864" s="3" t="s">
        <v>49</v>
      </c>
    </row>
    <row r="865" spans="1:14" x14ac:dyDescent="0.3">
      <c r="A865" s="36" t="s">
        <v>37</v>
      </c>
      <c r="B865" s="13">
        <v>113</v>
      </c>
      <c r="C865" s="48" t="str">
        <f>HYPERLINK("https://uscode.house.gov/statutes/pl/113/55.pdf", "P.L. 113-55")</f>
        <v>P.L. 113-55</v>
      </c>
      <c r="D865" s="3" t="s">
        <v>1656</v>
      </c>
      <c r="E865" s="3" t="s">
        <v>1657</v>
      </c>
      <c r="F865" s="3" t="s">
        <v>1658</v>
      </c>
      <c r="G865" s="48" t="str">
        <f>HYPERLINK("https://uscode.house.gov/view.xhtml?req=granuleid:USC-prelim-title42-section280g-5&amp;num=0&amp;edition=prelim", "42 U.S.C. 280g-5(c)")</f>
        <v>42 U.S.C. 280g-5(c)</v>
      </c>
      <c r="H865" s="46">
        <v>43373</v>
      </c>
      <c r="I865" s="13">
        <v>2018</v>
      </c>
      <c r="J865" s="47">
        <v>1900000</v>
      </c>
      <c r="K865" s="16" t="s">
        <v>62</v>
      </c>
      <c r="L865" s="3" t="s">
        <v>60</v>
      </c>
      <c r="M865" s="3" t="s">
        <v>71</v>
      </c>
      <c r="N865" s="3" t="s">
        <v>72</v>
      </c>
    </row>
    <row r="866" spans="1:14" x14ac:dyDescent="0.3">
      <c r="A866" s="36" t="s">
        <v>37</v>
      </c>
      <c r="B866" s="13">
        <v>113</v>
      </c>
      <c r="C866" s="48" t="str">
        <f>HYPERLINK("https://uscode.house.gov/statutes/pl/113/55.pdf", "P.L. 113-55")</f>
        <v>P.L. 113-55</v>
      </c>
      <c r="D866" s="3" t="s">
        <v>1656</v>
      </c>
      <c r="E866" s="3" t="s">
        <v>1659</v>
      </c>
      <c r="F866" s="3" t="s">
        <v>1660</v>
      </c>
      <c r="G866" s="48" t="str">
        <f>HYPERLINK("https://uscode.house.gov/view.xhtml?req=granuleid:USC-prelim-title42-section283m&amp;num=0&amp;edition=prelim", "42 U.S.C. 283m(g)")</f>
        <v>42 U.S.C. 283m(g)</v>
      </c>
      <c r="H866" s="46">
        <v>43373</v>
      </c>
      <c r="I866" s="13">
        <v>2018</v>
      </c>
      <c r="J866" s="47">
        <v>9400000</v>
      </c>
      <c r="K866" s="16" t="s">
        <v>62</v>
      </c>
      <c r="L866" s="3" t="s">
        <v>60</v>
      </c>
      <c r="M866" s="3" t="s">
        <v>71</v>
      </c>
      <c r="N866" s="3" t="s">
        <v>72</v>
      </c>
    </row>
    <row r="867" spans="1:14" x14ac:dyDescent="0.3">
      <c r="A867" s="36" t="s">
        <v>37</v>
      </c>
      <c r="B867" s="13">
        <v>113</v>
      </c>
      <c r="C867" s="48" t="str">
        <f>HYPERLINK("https://uscode.house.gov/statutes/pl/113/66.pdf", "P.L. 113-66")</f>
        <v>P.L. 113-66</v>
      </c>
      <c r="D867" s="3" t="s">
        <v>1661</v>
      </c>
      <c r="E867" s="3" t="s">
        <v>1662</v>
      </c>
      <c r="F867" s="3" t="s">
        <v>1663</v>
      </c>
      <c r="G867" s="48" t="str">
        <f>HYPERLINK("https://uscode.house.gov/view.xhtml?req=granuleid:USC-prelim-title16-section670f&amp;num=0&amp;edition=prelim", "16 U.S.C. 670f")</f>
        <v>16 U.S.C. 670f</v>
      </c>
      <c r="H867" s="46">
        <v>43738</v>
      </c>
      <c r="I867" s="13">
        <v>2019</v>
      </c>
      <c r="J867" s="47">
        <v>1500000</v>
      </c>
      <c r="K867" s="16" t="s">
        <v>62</v>
      </c>
      <c r="L867" s="3" t="s">
        <v>47</v>
      </c>
      <c r="M867" s="3" t="s">
        <v>48</v>
      </c>
      <c r="N867" s="3" t="s">
        <v>1664</v>
      </c>
    </row>
    <row r="868" spans="1:14" x14ac:dyDescent="0.3">
      <c r="A868" s="36" t="s">
        <v>37</v>
      </c>
      <c r="B868" s="13">
        <v>113</v>
      </c>
      <c r="C868" s="48" t="str">
        <f>HYPERLINK("https://uscode.house.gov/statutes/pl/113/66.pdf", "P.L. 113-66")</f>
        <v>P.L. 113-66</v>
      </c>
      <c r="D868" s="3" t="s">
        <v>1661</v>
      </c>
      <c r="E868" s="3" t="s">
        <v>1662</v>
      </c>
      <c r="F868" s="3" t="s">
        <v>1665</v>
      </c>
      <c r="G868" s="48" t="str">
        <f>HYPERLINK("https://uscode.house.gov/view.xhtml?req=granuleid:USC-prelim-title16-section670f&amp;num=0&amp;edition=prelim", "16 U.S.C. 670f(c)")</f>
        <v>16 U.S.C. 670f(c)</v>
      </c>
      <c r="H868" s="46">
        <v>43738</v>
      </c>
      <c r="I868" s="13">
        <v>2019</v>
      </c>
      <c r="J868" s="47">
        <v>3000000</v>
      </c>
      <c r="K868" s="16" t="s">
        <v>62</v>
      </c>
      <c r="L868" s="3" t="s">
        <v>47</v>
      </c>
      <c r="M868" s="3" t="s">
        <v>48</v>
      </c>
      <c r="N868" s="3" t="s">
        <v>49</v>
      </c>
    </row>
    <row r="869" spans="1:14" x14ac:dyDescent="0.3">
      <c r="A869" s="36" t="s">
        <v>37</v>
      </c>
      <c r="B869" s="13">
        <v>113</v>
      </c>
      <c r="C869" s="48" t="str">
        <f>HYPERLINK("https://uscode.house.gov/statutes/pl/113/95.pdf", "P.L. 113-95")</f>
        <v>P.L. 113-95</v>
      </c>
      <c r="D869" s="3" t="s">
        <v>1666</v>
      </c>
      <c r="F869" s="3" t="s">
        <v>1667</v>
      </c>
      <c r="G869" s="48" t="str">
        <f>HYPERLINK("https://uscode.house.gov/view.xhtml?req=granuleid:USC-prelim-title22-section8905&amp;num=0&amp;edition=prelim", "22 U.S.C. 8905(b)")</f>
        <v>22 U.S.C. 8905(b)</v>
      </c>
      <c r="H869" s="46">
        <v>42277</v>
      </c>
      <c r="I869" s="13">
        <v>2015</v>
      </c>
      <c r="J869" s="47">
        <v>50000000</v>
      </c>
      <c r="K869" s="16" t="s">
        <v>62</v>
      </c>
      <c r="L869" s="3" t="s">
        <v>80</v>
      </c>
      <c r="M869" s="3" t="s">
        <v>81</v>
      </c>
      <c r="N869" s="3" t="s">
        <v>82</v>
      </c>
    </row>
    <row r="870" spans="1:14" x14ac:dyDescent="0.3">
      <c r="A870" s="36" t="s">
        <v>37</v>
      </c>
      <c r="B870" s="13">
        <v>113</v>
      </c>
      <c r="C870" s="48" t="str">
        <f>HYPERLINK("https://uscode.house.gov/statutes/pl/113/95.pdf", "P.L. 113-95")</f>
        <v>P.L. 113-95</v>
      </c>
      <c r="D870" s="3" t="s">
        <v>1666</v>
      </c>
      <c r="F870" s="3" t="s">
        <v>1668</v>
      </c>
      <c r="G870" s="48" t="str">
        <f>HYPERLINK("https://uscode.house.gov/view.xhtml?req=granuleid:USC-prelim-title22-section8906&amp;num=0&amp;edition=prelim", "22 U.S.C. 8906(b)")</f>
        <v>22 U.S.C. 8906(b)</v>
      </c>
      <c r="H870" s="46">
        <v>43008</v>
      </c>
      <c r="I870" s="13">
        <v>2017</v>
      </c>
      <c r="J870" s="47">
        <v>100000000</v>
      </c>
      <c r="K870" s="16" t="s">
        <v>62</v>
      </c>
      <c r="L870" s="3" t="s">
        <v>80</v>
      </c>
      <c r="M870" s="3" t="s">
        <v>81</v>
      </c>
      <c r="N870" s="3" t="s">
        <v>82</v>
      </c>
    </row>
    <row r="871" spans="1:14" x14ac:dyDescent="0.3">
      <c r="A871" s="36" t="s">
        <v>37</v>
      </c>
      <c r="B871" s="13">
        <v>113</v>
      </c>
      <c r="C871" s="48" t="str">
        <f>HYPERLINK("https://uscode.house.gov/statutes/pl/113/96.pdf", "P.L. 113-96")</f>
        <v>P.L. 113-96</v>
      </c>
      <c r="D871" s="3" t="s">
        <v>1669</v>
      </c>
      <c r="E871" s="3" t="s">
        <v>1670</v>
      </c>
      <c r="F871" s="3" t="s">
        <v>1671</v>
      </c>
      <c r="G871" s="48" t="str">
        <f>HYPERLINK("https://uscode.house.gov/view.xhtml?req=granuleid:USC-prelim-title22-section6211&amp;num=0&amp;edition=prelim", "22 U.S.C. 6211")</f>
        <v>22 U.S.C. 6211</v>
      </c>
      <c r="H871" s="46">
        <v>41912</v>
      </c>
      <c r="I871" s="13">
        <v>2014</v>
      </c>
      <c r="J871" s="47">
        <v>10000000</v>
      </c>
      <c r="K871" s="16" t="s">
        <v>62</v>
      </c>
      <c r="L871" s="3" t="s">
        <v>80</v>
      </c>
      <c r="M871" s="3" t="s">
        <v>81</v>
      </c>
      <c r="N871" s="3" t="s">
        <v>82</v>
      </c>
    </row>
    <row r="872" spans="1:14" x14ac:dyDescent="0.3">
      <c r="A872" s="36" t="s">
        <v>37</v>
      </c>
      <c r="B872" s="13">
        <v>113</v>
      </c>
      <c r="C872" s="48" t="str">
        <f>HYPERLINK("https://uscode.house.gov/statutes/pl/113/121.pdf", "P.L. 113-121")</f>
        <v>P.L. 113-121</v>
      </c>
      <c r="D872" s="3" t="s">
        <v>1672</v>
      </c>
      <c r="E872" s="3" t="s">
        <v>1673</v>
      </c>
      <c r="F872" s="3" t="s">
        <v>1674</v>
      </c>
      <c r="G872" s="49"/>
      <c r="H872" s="46">
        <v>43738</v>
      </c>
      <c r="I872" s="13">
        <v>2019</v>
      </c>
      <c r="J872" s="47">
        <v>25000000</v>
      </c>
      <c r="K872" s="16" t="s">
        <v>62</v>
      </c>
      <c r="L872" s="3" t="s">
        <v>109</v>
      </c>
      <c r="M872" s="3" t="s">
        <v>67</v>
      </c>
      <c r="N872" s="3" t="s">
        <v>58</v>
      </c>
    </row>
    <row r="873" spans="1:14" x14ac:dyDescent="0.3">
      <c r="A873" s="36" t="s">
        <v>37</v>
      </c>
      <c r="B873" s="13">
        <v>113</v>
      </c>
      <c r="C873" s="48" t="str">
        <f t="shared" ref="C873:C896" si="33">HYPERLINK("https://uscode.house.gov/statutes/pl/113/128.pdf", "P.L. 113-128")</f>
        <v>P.L. 113-128</v>
      </c>
      <c r="D873" s="3" t="s">
        <v>1675</v>
      </c>
      <c r="E873" s="3" t="s">
        <v>1676</v>
      </c>
      <c r="F873" s="3" t="s">
        <v>1677</v>
      </c>
      <c r="G873" s="48" t="str">
        <f>HYPERLINK("https://uscode.house.gov/view.xhtml?req=granuleid:USC-prelim-title29-section3181&amp;num=0&amp;edition=prelim", "29 U.S.C. 3181(a)")</f>
        <v>29 U.S.C. 3181(a)</v>
      </c>
      <c r="H873" s="46">
        <v>44104</v>
      </c>
      <c r="I873" s="13">
        <v>2020</v>
      </c>
      <c r="J873" s="47">
        <v>963837000</v>
      </c>
      <c r="K873" s="47">
        <v>948130000</v>
      </c>
      <c r="L873" s="3" t="s">
        <v>130</v>
      </c>
      <c r="M873" s="3" t="s">
        <v>71</v>
      </c>
      <c r="N873" s="3" t="s">
        <v>72</v>
      </c>
    </row>
    <row r="874" spans="1:14" x14ac:dyDescent="0.3">
      <c r="A874" s="36" t="s">
        <v>37</v>
      </c>
      <c r="B874" s="13">
        <v>113</v>
      </c>
      <c r="C874" s="48" t="str">
        <f t="shared" si="33"/>
        <v>P.L. 113-128</v>
      </c>
      <c r="D874" s="3" t="s">
        <v>1675</v>
      </c>
      <c r="E874" s="3" t="s">
        <v>1678</v>
      </c>
      <c r="F874" s="3" t="s">
        <v>1679</v>
      </c>
      <c r="G874" s="48" t="str">
        <f>HYPERLINK("https://uscode.house.gov/view.xhtml?req=granuleid:USC-prelim-title29-section3181&amp;num=0&amp;edition=prelim", "29 U.S.C. 3181(b)")</f>
        <v>29 U.S.C. 3181(b)</v>
      </c>
      <c r="H874" s="46">
        <v>44104</v>
      </c>
      <c r="I874" s="13">
        <v>2020</v>
      </c>
      <c r="J874" s="47">
        <v>899987000</v>
      </c>
      <c r="K874" s="47">
        <v>885649000</v>
      </c>
      <c r="L874" s="3" t="s">
        <v>130</v>
      </c>
      <c r="M874" s="3" t="s">
        <v>71</v>
      </c>
      <c r="N874" s="3" t="s">
        <v>72</v>
      </c>
    </row>
    <row r="875" spans="1:14" x14ac:dyDescent="0.3">
      <c r="A875" s="36" t="s">
        <v>37</v>
      </c>
      <c r="B875" s="13">
        <v>113</v>
      </c>
      <c r="C875" s="48" t="str">
        <f t="shared" si="33"/>
        <v>P.L. 113-128</v>
      </c>
      <c r="D875" s="3" t="s">
        <v>1675</v>
      </c>
      <c r="E875" s="3" t="s">
        <v>1680</v>
      </c>
      <c r="F875" s="3" t="s">
        <v>1681</v>
      </c>
      <c r="G875" s="48" t="str">
        <f>HYPERLINK("https://uscode.house.gov/view.xhtml?req=granuleid:USC-prelim-title29-section3181&amp;num=0&amp;edition=prelim", "29 U.S.C. 3181(c)")</f>
        <v>29 U.S.C. 3181(c)</v>
      </c>
      <c r="H875" s="46">
        <v>44104</v>
      </c>
      <c r="I875" s="13">
        <v>2020</v>
      </c>
      <c r="J875" s="47">
        <v>1436137000</v>
      </c>
      <c r="K875" s="47">
        <v>1095553000</v>
      </c>
      <c r="L875" s="3" t="s">
        <v>130</v>
      </c>
      <c r="M875" s="3" t="s">
        <v>71</v>
      </c>
      <c r="N875" s="3" t="s">
        <v>72</v>
      </c>
    </row>
    <row r="876" spans="1:14" x14ac:dyDescent="0.3">
      <c r="A876" s="36" t="s">
        <v>37</v>
      </c>
      <c r="B876" s="13">
        <v>113</v>
      </c>
      <c r="C876" s="48" t="str">
        <f t="shared" si="33"/>
        <v>P.L. 113-128</v>
      </c>
      <c r="D876" s="3" t="s">
        <v>1675</v>
      </c>
      <c r="E876" s="3" t="s">
        <v>1682</v>
      </c>
      <c r="F876" s="3" t="s">
        <v>1683</v>
      </c>
      <c r="G876" s="48" t="str">
        <f>HYPERLINK("https://uscode.house.gov/view.xhtml?req=granuleid:USC-prelim-title29-section3212&amp;num=0&amp;edition=prelim", "29 U.S.C. 3212")</f>
        <v>29 U.S.C. 3212</v>
      </c>
      <c r="H876" s="46">
        <v>44104</v>
      </c>
      <c r="I876" s="13">
        <v>2020</v>
      </c>
      <c r="J876" s="47">
        <v>1983236000</v>
      </c>
      <c r="K876" s="47">
        <v>1760155000</v>
      </c>
      <c r="L876" s="3" t="s">
        <v>130</v>
      </c>
      <c r="M876" s="3" t="s">
        <v>71</v>
      </c>
      <c r="N876" s="3" t="s">
        <v>72</v>
      </c>
    </row>
    <row r="877" spans="1:14" x14ac:dyDescent="0.3">
      <c r="A877" s="36" t="s">
        <v>37</v>
      </c>
      <c r="B877" s="13">
        <v>113</v>
      </c>
      <c r="C877" s="48" t="str">
        <f t="shared" si="33"/>
        <v>P.L. 113-128</v>
      </c>
      <c r="D877" s="3" t="s">
        <v>1675</v>
      </c>
      <c r="E877" s="3" t="s">
        <v>1684</v>
      </c>
      <c r="F877" s="3" t="s">
        <v>1685</v>
      </c>
      <c r="G877" s="48" t="str">
        <f>HYPERLINK("https://uscode.house.gov/view.xhtml?req=granuleid:USC-prelim-title29-section3221&amp;num=0&amp;edition=prelim", "29 U.S.C. 3221(k)")</f>
        <v>29 U.S.C. 3221(k)</v>
      </c>
      <c r="H877" s="46">
        <v>44104</v>
      </c>
      <c r="I877" s="13">
        <v>2020</v>
      </c>
      <c r="J877" s="47">
        <v>542000</v>
      </c>
      <c r="K877" s="16" t="s">
        <v>62</v>
      </c>
      <c r="L877" s="3" t="s">
        <v>130</v>
      </c>
      <c r="M877" s="3" t="s">
        <v>71</v>
      </c>
      <c r="N877" s="3" t="s">
        <v>72</v>
      </c>
    </row>
    <row r="878" spans="1:14" x14ac:dyDescent="0.3">
      <c r="A878" s="36" t="s">
        <v>37</v>
      </c>
      <c r="B878" s="13">
        <v>113</v>
      </c>
      <c r="C878" s="48" t="str">
        <f t="shared" si="33"/>
        <v>P.L. 113-128</v>
      </c>
      <c r="D878" s="3" t="s">
        <v>1675</v>
      </c>
      <c r="E878" s="3" t="s">
        <v>1686</v>
      </c>
      <c r="F878" s="3" t="s">
        <v>1687</v>
      </c>
      <c r="G878" s="48" t="str">
        <f>HYPERLINK("https://uscode.house.gov/view.xhtml?req=granuleid:USC-prelim-title29-section3226&amp;num=0&amp;edition=prelim", "29 U.S.C. 3226(i)")</f>
        <v>29 U.S.C. 3226(i)</v>
      </c>
      <c r="H878" s="46">
        <v>44104</v>
      </c>
      <c r="I878" s="13">
        <v>2020</v>
      </c>
      <c r="J878" s="47">
        <v>91087000</v>
      </c>
      <c r="K878" s="47">
        <v>105000000</v>
      </c>
      <c r="L878" s="3" t="s">
        <v>130</v>
      </c>
      <c r="M878" s="3" t="s">
        <v>71</v>
      </c>
      <c r="N878" s="3" t="s">
        <v>72</v>
      </c>
    </row>
    <row r="879" spans="1:14" x14ac:dyDescent="0.3">
      <c r="A879" s="36" t="s">
        <v>37</v>
      </c>
      <c r="B879" s="13">
        <v>113</v>
      </c>
      <c r="C879" s="48" t="str">
        <f t="shared" si="33"/>
        <v>P.L. 113-128</v>
      </c>
      <c r="D879" s="3" t="s">
        <v>1675</v>
      </c>
      <c r="E879" s="3" t="s">
        <v>1688</v>
      </c>
      <c r="F879" s="3" t="s">
        <v>1689</v>
      </c>
      <c r="G879" s="48" t="str">
        <f>HYPERLINK("https://uscode.house.gov/view.xhtml?req=granuleid:USC-prelim-title29-section3227&amp;num=0&amp;edition=prelim", "29 U.S.C. 3227(b)")</f>
        <v>29 U.S.C. 3227(b)</v>
      </c>
      <c r="H879" s="46">
        <v>44104</v>
      </c>
      <c r="I879" s="13">
        <v>2020</v>
      </c>
      <c r="J879" s="47">
        <v>96211000</v>
      </c>
      <c r="K879" s="47">
        <v>97396000</v>
      </c>
      <c r="L879" s="3" t="s">
        <v>130</v>
      </c>
      <c r="M879" s="3" t="s">
        <v>71</v>
      </c>
      <c r="N879" s="3" t="s">
        <v>72</v>
      </c>
    </row>
    <row r="880" spans="1:14" x14ac:dyDescent="0.3">
      <c r="A880" s="36" t="s">
        <v>37</v>
      </c>
      <c r="B880" s="13">
        <v>113</v>
      </c>
      <c r="C880" s="48" t="str">
        <f t="shared" si="33"/>
        <v>P.L. 113-128</v>
      </c>
      <c r="D880" s="3" t="s">
        <v>1675</v>
      </c>
      <c r="E880" s="3" t="s">
        <v>1690</v>
      </c>
      <c r="F880" s="3" t="s">
        <v>1691</v>
      </c>
      <c r="G880" s="48" t="str">
        <f>HYPERLINK("https://uscode.house.gov/view.xhtml?req=granuleid:USC-prelim-title29-section3227&amp;num=0&amp;edition=prelim", "29 U.S.C. 3227(c)")</f>
        <v>29 U.S.C. 3227(c)</v>
      </c>
      <c r="H880" s="46">
        <v>44104</v>
      </c>
      <c r="I880" s="13">
        <v>2020</v>
      </c>
      <c r="J880" s="47">
        <v>3524000</v>
      </c>
      <c r="K880" s="16" t="s">
        <v>62</v>
      </c>
      <c r="L880" s="3" t="s">
        <v>130</v>
      </c>
      <c r="M880" s="3" t="s">
        <v>71</v>
      </c>
      <c r="N880" s="3" t="s">
        <v>72</v>
      </c>
    </row>
    <row r="881" spans="1:14" x14ac:dyDescent="0.3">
      <c r="A881" s="36" t="s">
        <v>37</v>
      </c>
      <c r="B881" s="13">
        <v>113</v>
      </c>
      <c r="C881" s="48" t="str">
        <f t="shared" si="33"/>
        <v>P.L. 113-128</v>
      </c>
      <c r="D881" s="3" t="s">
        <v>1675</v>
      </c>
      <c r="E881" s="3" t="s">
        <v>1692</v>
      </c>
      <c r="F881" s="3" t="s">
        <v>1693</v>
      </c>
      <c r="G881" s="48" t="str">
        <f>HYPERLINK("https://uscode.house.gov/view.xhtml?req=granuleid:USC-prelim-title29-section3227&amp;num=0&amp;edition=prelim", "29 U.S.C. 3227(d)")</f>
        <v>29 U.S.C. 3227(d)</v>
      </c>
      <c r="H881" s="46">
        <v>44104</v>
      </c>
      <c r="I881" s="13">
        <v>2020</v>
      </c>
      <c r="J881" s="47">
        <v>106906000</v>
      </c>
      <c r="K881" s="16" t="s">
        <v>62</v>
      </c>
      <c r="L881" s="3" t="s">
        <v>130</v>
      </c>
      <c r="M881" s="3" t="s">
        <v>71</v>
      </c>
      <c r="N881" s="3" t="s">
        <v>72</v>
      </c>
    </row>
    <row r="882" spans="1:14" x14ac:dyDescent="0.3">
      <c r="A882" s="36" t="s">
        <v>37</v>
      </c>
      <c r="B882" s="13">
        <v>113</v>
      </c>
      <c r="C882" s="48" t="str">
        <f t="shared" si="33"/>
        <v>P.L. 113-128</v>
      </c>
      <c r="D882" s="3" t="s">
        <v>1675</v>
      </c>
      <c r="E882" s="3" t="s">
        <v>661</v>
      </c>
      <c r="F882" s="3" t="s">
        <v>1694</v>
      </c>
      <c r="G882" s="48" t="str">
        <f>HYPERLINK("https://uscode.house.gov/view.xhtml?req=granuleid:USC-prelim-title29-section3275&amp;num=0&amp;edition=prelim", "29 U.S.C. 3275")</f>
        <v>29 U.S.C. 3275</v>
      </c>
      <c r="H882" s="46">
        <v>44104</v>
      </c>
      <c r="I882" s="13">
        <v>2020</v>
      </c>
      <c r="J882" s="47">
        <v>678640000</v>
      </c>
      <c r="K882" s="16" t="s">
        <v>62</v>
      </c>
      <c r="L882" s="3" t="s">
        <v>130</v>
      </c>
      <c r="M882" s="3" t="s">
        <v>71</v>
      </c>
      <c r="N882" s="3" t="s">
        <v>72</v>
      </c>
    </row>
    <row r="883" spans="1:14" x14ac:dyDescent="0.3">
      <c r="A883" s="36" t="s">
        <v>37</v>
      </c>
      <c r="B883" s="13">
        <v>113</v>
      </c>
      <c r="C883" s="48" t="str">
        <f t="shared" si="33"/>
        <v>P.L. 113-128</v>
      </c>
      <c r="D883" s="3" t="s">
        <v>1675</v>
      </c>
      <c r="E883" s="3" t="s">
        <v>1695</v>
      </c>
      <c r="F883" s="3" t="s">
        <v>1696</v>
      </c>
      <c r="G883" s="48" t="str">
        <f>HYPERLINK("https://uscode.house.gov/view.xhtml?req=granuleid:USC-prelim-title29-section49l-2&amp;num=0&amp;edition=prelim", "29 U.S.C. 49l-2(g)")</f>
        <v>29 U.S.C. 49l-2(g)</v>
      </c>
      <c r="H883" s="46">
        <v>44104</v>
      </c>
      <c r="I883" s="13">
        <v>2020</v>
      </c>
      <c r="J883" s="47">
        <v>70667000</v>
      </c>
      <c r="K883" s="47">
        <v>62653000</v>
      </c>
      <c r="L883" s="3" t="s">
        <v>130</v>
      </c>
      <c r="M883" s="3" t="s">
        <v>71</v>
      </c>
      <c r="N883" s="3" t="s">
        <v>72</v>
      </c>
    </row>
    <row r="884" spans="1:14" x14ac:dyDescent="0.3">
      <c r="A884" s="36" t="s">
        <v>37</v>
      </c>
      <c r="B884" s="13">
        <v>113</v>
      </c>
      <c r="C884" s="48" t="str">
        <f t="shared" si="33"/>
        <v>P.L. 113-128</v>
      </c>
      <c r="D884" s="3" t="s">
        <v>1675</v>
      </c>
      <c r="E884" s="3" t="s">
        <v>1697</v>
      </c>
      <c r="F884" s="3" t="s">
        <v>1698</v>
      </c>
      <c r="G884" s="48" t="str">
        <f>HYPERLINK("https://uscode.house.gov/view.xhtml?req=granuleid:USC-prelim-title29-section720&amp;num=0&amp;edition=prelim", "29 U.S.C. 720(b)")</f>
        <v>29 U.S.C. 720(b)</v>
      </c>
      <c r="H884" s="46">
        <v>44104</v>
      </c>
      <c r="I884" s="13">
        <v>2020</v>
      </c>
      <c r="J884" s="47">
        <v>3302053000</v>
      </c>
      <c r="K884" s="47">
        <v>3949707000</v>
      </c>
      <c r="L884" s="3" t="s">
        <v>130</v>
      </c>
      <c r="M884" s="3" t="s">
        <v>71</v>
      </c>
      <c r="N884" s="3" t="s">
        <v>72</v>
      </c>
    </row>
    <row r="885" spans="1:14" x14ac:dyDescent="0.3">
      <c r="A885" s="36" t="s">
        <v>37</v>
      </c>
      <c r="B885" s="13">
        <v>113</v>
      </c>
      <c r="C885" s="48" t="str">
        <f t="shared" si="33"/>
        <v>P.L. 113-128</v>
      </c>
      <c r="D885" s="3" t="s">
        <v>1675</v>
      </c>
      <c r="E885" s="3" t="s">
        <v>671</v>
      </c>
      <c r="F885" s="3" t="s">
        <v>1699</v>
      </c>
      <c r="G885" s="48" t="str">
        <f>HYPERLINK("https://uscode.house.gov/view.xhtml?req=granuleid:USC-prelim-title29-section732&amp;num=0&amp;edition=prelim", "29 U.S.C. 732(h)")</f>
        <v>29 U.S.C. 732(h)</v>
      </c>
      <c r="H885" s="46">
        <v>44104</v>
      </c>
      <c r="I885" s="13">
        <v>2020</v>
      </c>
      <c r="J885" s="47">
        <v>14098000</v>
      </c>
      <c r="K885" s="47">
        <v>13000000</v>
      </c>
      <c r="L885" s="3" t="s">
        <v>130</v>
      </c>
      <c r="M885" s="3" t="s">
        <v>71</v>
      </c>
      <c r="N885" s="3" t="s">
        <v>72</v>
      </c>
    </row>
    <row r="886" spans="1:14" x14ac:dyDescent="0.3">
      <c r="A886" s="36" t="s">
        <v>37</v>
      </c>
      <c r="B886" s="13">
        <v>113</v>
      </c>
      <c r="C886" s="48" t="str">
        <f t="shared" si="33"/>
        <v>P.L. 113-128</v>
      </c>
      <c r="D886" s="3" t="s">
        <v>1675</v>
      </c>
      <c r="E886" s="3" t="s">
        <v>1700</v>
      </c>
      <c r="F886" s="3" t="s">
        <v>1701</v>
      </c>
      <c r="G886" s="48" t="str">
        <f>HYPERLINK("https://uscode.house.gov/view.xhtml?req=granuleid:USC-prelim-title29-section761&amp;num=0&amp;edition=prelim", "29 U.S.C. 761")</f>
        <v>29 U.S.C. 761</v>
      </c>
      <c r="H886" s="46">
        <v>44104</v>
      </c>
      <c r="I886" s="13">
        <v>2020</v>
      </c>
      <c r="J886" s="47">
        <v>122143000</v>
      </c>
      <c r="K886" s="16" t="s">
        <v>62</v>
      </c>
      <c r="L886" s="3" t="s">
        <v>130</v>
      </c>
      <c r="M886" s="3" t="s">
        <v>71</v>
      </c>
      <c r="N886" s="3" t="s">
        <v>72</v>
      </c>
    </row>
    <row r="887" spans="1:14" x14ac:dyDescent="0.3">
      <c r="A887" s="36" t="s">
        <v>37</v>
      </c>
      <c r="B887" s="13">
        <v>113</v>
      </c>
      <c r="C887" s="48" t="str">
        <f t="shared" si="33"/>
        <v>P.L. 113-128</v>
      </c>
      <c r="D887" s="3" t="s">
        <v>1675</v>
      </c>
      <c r="E887" s="3" t="s">
        <v>1702</v>
      </c>
      <c r="F887" s="3" t="s">
        <v>1703</v>
      </c>
      <c r="G887" s="48" t="str">
        <f>HYPERLINK("https://uscode.house.gov/view.xhtml?req=granuleid:USC-prelim-title29-section772&amp;num=0&amp;edition=prelim", "29 U.S.C. 772(i)")</f>
        <v>29 U.S.C. 772(i)</v>
      </c>
      <c r="H887" s="46">
        <v>44104</v>
      </c>
      <c r="I887" s="13">
        <v>2020</v>
      </c>
      <c r="J887" s="47">
        <v>39540000</v>
      </c>
      <c r="K887" s="16" t="s">
        <v>62</v>
      </c>
      <c r="L887" s="3" t="s">
        <v>130</v>
      </c>
      <c r="M887" s="3" t="s">
        <v>71</v>
      </c>
      <c r="N887" s="3" t="s">
        <v>72</v>
      </c>
    </row>
    <row r="888" spans="1:14" x14ac:dyDescent="0.3">
      <c r="A888" s="36" t="s">
        <v>37</v>
      </c>
      <c r="B888" s="13">
        <v>113</v>
      </c>
      <c r="C888" s="48" t="str">
        <f t="shared" si="33"/>
        <v>P.L. 113-128</v>
      </c>
      <c r="D888" s="3" t="s">
        <v>1675</v>
      </c>
      <c r="E888" s="3" t="s">
        <v>1211</v>
      </c>
      <c r="F888" s="3" t="s">
        <v>1704</v>
      </c>
      <c r="G888" s="48" t="str">
        <f>HYPERLINK("https://uscode.house.gov/view.xhtml?req=granuleid:USC-prelim-title29-section771&amp;num=0&amp;edition=prelim", "29 U.S.C. 771")</f>
        <v>29 U.S.C. 771</v>
      </c>
      <c r="H888" s="46">
        <v>44104</v>
      </c>
      <c r="I888" s="13">
        <v>2020</v>
      </c>
      <c r="J888" s="47">
        <v>6809000</v>
      </c>
      <c r="K888" s="16" t="s">
        <v>62</v>
      </c>
      <c r="L888" s="3" t="s">
        <v>130</v>
      </c>
      <c r="M888" s="3" t="s">
        <v>71</v>
      </c>
      <c r="N888" s="3" t="s">
        <v>72</v>
      </c>
    </row>
    <row r="889" spans="1:14" x14ac:dyDescent="0.3">
      <c r="A889" s="36" t="s">
        <v>37</v>
      </c>
      <c r="B889" s="13">
        <v>113</v>
      </c>
      <c r="C889" s="48" t="str">
        <f t="shared" si="33"/>
        <v>P.L. 113-128</v>
      </c>
      <c r="D889" s="3" t="s">
        <v>1675</v>
      </c>
      <c r="E889" s="3" t="s">
        <v>1705</v>
      </c>
      <c r="F889" s="3" t="s">
        <v>1706</v>
      </c>
      <c r="G889" s="48" t="str">
        <f>HYPERLINK("https://uscode.house.gov/view.xhtml?req=granuleid:USC-prelim-title29-section785&amp;num=0&amp;edition=prelim", "29 U.S.C. 785")</f>
        <v>29 U.S.C. 785</v>
      </c>
      <c r="H889" s="46">
        <v>44104</v>
      </c>
      <c r="I889" s="13">
        <v>2020</v>
      </c>
      <c r="J889" s="47">
        <v>3753000</v>
      </c>
      <c r="K889" s="47">
        <v>3850000</v>
      </c>
      <c r="L889" s="3" t="s">
        <v>130</v>
      </c>
      <c r="M889" s="3" t="s">
        <v>71</v>
      </c>
      <c r="N889" s="3" t="s">
        <v>72</v>
      </c>
    </row>
    <row r="890" spans="1:14" x14ac:dyDescent="0.3">
      <c r="A890" s="36" t="s">
        <v>37</v>
      </c>
      <c r="B890" s="13">
        <v>113</v>
      </c>
      <c r="C890" s="48" t="str">
        <f t="shared" si="33"/>
        <v>P.L. 113-128</v>
      </c>
      <c r="D890" s="3" t="s">
        <v>1675</v>
      </c>
      <c r="E890" s="3" t="s">
        <v>1707</v>
      </c>
      <c r="F890" s="3" t="s">
        <v>1708</v>
      </c>
      <c r="G890" s="48" t="str">
        <f>HYPERLINK("https://uscode.house.gov/view.xhtml?req=granuleid:USC-prelim-title29-section792&amp;num=0&amp;edition=prelim", "29 U.S.C. 792")</f>
        <v>29 U.S.C. 792</v>
      </c>
      <c r="H890" s="46">
        <v>44104</v>
      </c>
      <c r="I890" s="13">
        <v>2020</v>
      </c>
      <c r="J890" s="47">
        <v>8568000</v>
      </c>
      <c r="K890" s="47">
        <v>9850000</v>
      </c>
      <c r="L890" s="3" t="s">
        <v>109</v>
      </c>
      <c r="M890" s="3" t="s">
        <v>67</v>
      </c>
      <c r="N890" s="3" t="s">
        <v>158</v>
      </c>
    </row>
    <row r="891" spans="1:14" x14ac:dyDescent="0.3">
      <c r="A891" s="36" t="s">
        <v>37</v>
      </c>
      <c r="B891" s="13">
        <v>113</v>
      </c>
      <c r="C891" s="48" t="str">
        <f t="shared" si="33"/>
        <v>P.L. 113-128</v>
      </c>
      <c r="D891" s="3" t="s">
        <v>1675</v>
      </c>
      <c r="E891" s="3" t="s">
        <v>1709</v>
      </c>
      <c r="F891" s="3" t="s">
        <v>1710</v>
      </c>
      <c r="G891" s="48" t="str">
        <f>HYPERLINK("https://uscode.house.gov/view.xhtml?req=granuleid:USC-prelim-title29-section794e&amp;num=0&amp;edition=prelim", "29 U.S.C. 794e(l)")</f>
        <v>29 U.S.C. 794e(l)</v>
      </c>
      <c r="H891" s="46">
        <v>44104</v>
      </c>
      <c r="I891" s="13">
        <v>2020</v>
      </c>
      <c r="J891" s="47">
        <v>20735000</v>
      </c>
      <c r="K891" s="47">
        <v>20150000</v>
      </c>
      <c r="L891" s="3" t="s">
        <v>130</v>
      </c>
      <c r="M891" s="3" t="s">
        <v>71</v>
      </c>
      <c r="N891" s="3" t="s">
        <v>72</v>
      </c>
    </row>
    <row r="892" spans="1:14" x14ac:dyDescent="0.3">
      <c r="A892" s="36" t="s">
        <v>37</v>
      </c>
      <c r="B892" s="13">
        <v>113</v>
      </c>
      <c r="C892" s="48" t="str">
        <f t="shared" si="33"/>
        <v>P.L. 113-128</v>
      </c>
      <c r="D892" s="3" t="s">
        <v>1675</v>
      </c>
      <c r="E892" s="3" t="s">
        <v>1711</v>
      </c>
      <c r="F892" s="3" t="s">
        <v>1712</v>
      </c>
      <c r="G892" s="48" t="str">
        <f>HYPERLINK("https://uscode.house.gov/view.xhtml?req=granuleid:USC-prelim-title29-section795o&amp;num=0&amp;edition=prelim", "29 U.S.C. 795o")</f>
        <v>29 U.S.C. 795o</v>
      </c>
      <c r="H892" s="46">
        <v>44104</v>
      </c>
      <c r="I892" s="13">
        <v>2020</v>
      </c>
      <c r="J892" s="47">
        <v>32363000</v>
      </c>
      <c r="K892" s="16" t="s">
        <v>62</v>
      </c>
      <c r="L892" s="3" t="s">
        <v>130</v>
      </c>
      <c r="M892" s="3" t="s">
        <v>71</v>
      </c>
      <c r="N892" s="3" t="s">
        <v>72</v>
      </c>
    </row>
    <row r="893" spans="1:14" x14ac:dyDescent="0.3">
      <c r="A893" s="36" t="s">
        <v>37</v>
      </c>
      <c r="B893" s="13">
        <v>113</v>
      </c>
      <c r="C893" s="48" t="str">
        <f t="shared" si="33"/>
        <v>P.L. 113-128</v>
      </c>
      <c r="D893" s="3" t="s">
        <v>1675</v>
      </c>
      <c r="E893" s="3" t="s">
        <v>1713</v>
      </c>
      <c r="F893" s="3" t="s">
        <v>1714</v>
      </c>
      <c r="G893" s="48" t="str">
        <f>HYPERLINK("https://uscode.house.gov/view.xhtml?req=granuleid:USC-prelim-title29-section796e-3&amp;num=0&amp;edition=prelim", "29 U.S.C. 796e-3")</f>
        <v>29 U.S.C. 796e-3</v>
      </c>
      <c r="H893" s="46">
        <v>44104</v>
      </c>
      <c r="I893" s="13">
        <v>2020</v>
      </c>
      <c r="J893" s="47">
        <v>26877000</v>
      </c>
      <c r="K893" s="16" t="s">
        <v>62</v>
      </c>
      <c r="L893" s="3" t="s">
        <v>130</v>
      </c>
      <c r="M893" s="3" t="s">
        <v>71</v>
      </c>
      <c r="N893" s="3" t="s">
        <v>72</v>
      </c>
    </row>
    <row r="894" spans="1:14" x14ac:dyDescent="0.3">
      <c r="A894" s="36" t="s">
        <v>37</v>
      </c>
      <c r="B894" s="13">
        <v>113</v>
      </c>
      <c r="C894" s="48" t="str">
        <f t="shared" si="33"/>
        <v>P.L. 113-128</v>
      </c>
      <c r="D894" s="3" t="s">
        <v>1675</v>
      </c>
      <c r="E894" s="3" t="s">
        <v>1715</v>
      </c>
      <c r="F894" s="3" t="s">
        <v>1716</v>
      </c>
      <c r="G894" s="48" t="str">
        <f>HYPERLINK("https://uscode.house.gov/view.xhtml?req=granuleid:USC-prelim-title29-section796f-6&amp;num=0&amp;edition=prelim", "29 U.S.C. 796f-6")</f>
        <v>29 U.S.C. 796f-6</v>
      </c>
      <c r="H894" s="46">
        <v>44104</v>
      </c>
      <c r="I894" s="13">
        <v>2020</v>
      </c>
      <c r="J894" s="47">
        <v>91992000</v>
      </c>
      <c r="K894" s="47">
        <v>128183000</v>
      </c>
      <c r="L894" s="3" t="s">
        <v>130</v>
      </c>
      <c r="M894" s="3" t="s">
        <v>71</v>
      </c>
      <c r="N894" s="3" t="s">
        <v>72</v>
      </c>
    </row>
    <row r="895" spans="1:14" x14ac:dyDescent="0.3">
      <c r="A895" s="36" t="s">
        <v>37</v>
      </c>
      <c r="B895" s="13">
        <v>113</v>
      </c>
      <c r="C895" s="48" t="str">
        <f t="shared" si="33"/>
        <v>P.L. 113-128</v>
      </c>
      <c r="D895" s="3" t="s">
        <v>1675</v>
      </c>
      <c r="E895" s="3" t="s">
        <v>1717</v>
      </c>
      <c r="F895" s="3" t="s">
        <v>1718</v>
      </c>
      <c r="G895" s="48" t="str">
        <f>HYPERLINK("https://uscode.house.gov/view.xhtml?req=granuleid:USC-prelim-title29-section796l&amp;num=0&amp;edition=prelim", "29 U.S.C. 796l")</f>
        <v>29 U.S.C. 796l</v>
      </c>
      <c r="H895" s="46">
        <v>44104</v>
      </c>
      <c r="I895" s="13">
        <v>2020</v>
      </c>
      <c r="J895" s="47">
        <v>39141000</v>
      </c>
      <c r="K895" s="47">
        <v>33317000</v>
      </c>
      <c r="L895" s="3" t="s">
        <v>130</v>
      </c>
      <c r="M895" s="3" t="s">
        <v>71</v>
      </c>
      <c r="N895" s="3" t="s">
        <v>72</v>
      </c>
    </row>
    <row r="896" spans="1:14" x14ac:dyDescent="0.3">
      <c r="A896" s="36" t="s">
        <v>37</v>
      </c>
      <c r="B896" s="13">
        <v>113</v>
      </c>
      <c r="C896" s="48" t="str">
        <f t="shared" si="33"/>
        <v>P.L. 113-128</v>
      </c>
      <c r="D896" s="3" t="s">
        <v>1675</v>
      </c>
      <c r="E896" s="3" t="s">
        <v>1719</v>
      </c>
      <c r="F896" s="3" t="s">
        <v>1720</v>
      </c>
      <c r="G896" s="48" t="str">
        <f>HYPERLINK("https://uscode.house.gov/view.xhtml?req=granuleid:USC-prelim-title29-section3227&amp;num=0&amp;edition=prelim", "29 U.S.C. 3227(a)")</f>
        <v>29 U.S.C. 3227(a)</v>
      </c>
      <c r="H896" s="46">
        <v>44104</v>
      </c>
      <c r="I896" s="13">
        <v>2020</v>
      </c>
      <c r="J896" s="16" t="s">
        <v>12</v>
      </c>
      <c r="K896" s="47">
        <v>60000000</v>
      </c>
      <c r="L896" s="3" t="s">
        <v>130</v>
      </c>
      <c r="M896" s="3" t="s">
        <v>71</v>
      </c>
      <c r="N896" s="3" t="s">
        <v>72</v>
      </c>
    </row>
    <row r="897" spans="1:14" x14ac:dyDescent="0.3">
      <c r="A897" s="36" t="s">
        <v>37</v>
      </c>
      <c r="B897" s="13">
        <v>113</v>
      </c>
      <c r="C897" s="48" t="str">
        <f>HYPERLINK("https://uscode.house.gov/statutes/pl/113/150.pdf", "P.L. 113-150")</f>
        <v>P.L. 113-150</v>
      </c>
      <c r="D897" s="3" t="s">
        <v>1721</v>
      </c>
      <c r="E897" s="3" t="s">
        <v>95</v>
      </c>
      <c r="F897" s="3" t="s">
        <v>1722</v>
      </c>
      <c r="G897" s="48" t="str">
        <f>HYPERLINK("https://uscode.house.gov/view.xhtml?req=granuleid:USC-prelim-title22-section9141&amp;num=0&amp;edition=prelim", "22 U.S.C. 9141")</f>
        <v>22 U.S.C. 9141</v>
      </c>
      <c r="H897" s="46">
        <v>42643</v>
      </c>
      <c r="I897" s="13">
        <v>2016</v>
      </c>
      <c r="J897" s="47">
        <v>1000000</v>
      </c>
      <c r="K897" s="16" t="s">
        <v>62</v>
      </c>
      <c r="L897" s="3" t="s">
        <v>80</v>
      </c>
      <c r="M897" s="3" t="s">
        <v>81</v>
      </c>
      <c r="N897" s="3" t="s">
        <v>82</v>
      </c>
    </row>
    <row r="898" spans="1:14" x14ac:dyDescent="0.3">
      <c r="A898" s="36" t="s">
        <v>37</v>
      </c>
      <c r="B898" s="13">
        <v>113</v>
      </c>
      <c r="C898" s="48" t="str">
        <f>HYPERLINK("https://uscode.house.gov/statutes/pl/113/161.pdf", "P.L. 113-161")</f>
        <v>P.L. 113-161</v>
      </c>
      <c r="D898" s="3" t="s">
        <v>1723</v>
      </c>
      <c r="E898" s="3" t="s">
        <v>593</v>
      </c>
      <c r="F898" s="3" t="s">
        <v>1724</v>
      </c>
      <c r="G898" s="48" t="str">
        <f>HYPERLINK("https://uscode.house.gov/view.xhtml?req=granuleid:USC-prelim-title22-section6411&amp;num=0&amp;edition=prelim", "22 U.S.C. 6411(note)")</f>
        <v>22 U.S.C. 6411(note)</v>
      </c>
      <c r="H898" s="46">
        <v>43738</v>
      </c>
      <c r="I898" s="13">
        <v>2019</v>
      </c>
      <c r="J898" s="47">
        <v>1000000</v>
      </c>
      <c r="K898" s="16" t="s">
        <v>62</v>
      </c>
      <c r="L898" s="3" t="s">
        <v>80</v>
      </c>
      <c r="M898" s="3" t="s">
        <v>81</v>
      </c>
      <c r="N898" s="3" t="s">
        <v>82</v>
      </c>
    </row>
    <row r="899" spans="1:14" x14ac:dyDescent="0.3">
      <c r="A899" s="36" t="s">
        <v>37</v>
      </c>
      <c r="B899" s="13">
        <v>113</v>
      </c>
      <c r="C899" s="48" t="str">
        <f>HYPERLINK("https://uscode.house.gov/statutes/pl/113/186.pdf", "P.L. 113-186")</f>
        <v>P.L. 113-186</v>
      </c>
      <c r="D899" s="3" t="s">
        <v>1725</v>
      </c>
      <c r="E899" s="3" t="s">
        <v>296</v>
      </c>
      <c r="F899" s="3" t="s">
        <v>1726</v>
      </c>
      <c r="G899" s="48" t="str">
        <f>HYPERLINK("https://uscode.house.gov/view.xhtml?req=granuleid:USC-prelim-title42-section9858&amp;num=0&amp;edition=prelim", "42 U.S.C. 9858")</f>
        <v>42 U.S.C. 9858</v>
      </c>
      <c r="H899" s="46">
        <v>44104</v>
      </c>
      <c r="I899" s="13">
        <v>2020</v>
      </c>
      <c r="J899" s="47">
        <v>2748591000</v>
      </c>
      <c r="K899" s="47">
        <v>8121387000</v>
      </c>
      <c r="L899" s="3" t="s">
        <v>130</v>
      </c>
      <c r="M899" s="3" t="s">
        <v>71</v>
      </c>
      <c r="N899" s="3" t="s">
        <v>72</v>
      </c>
    </row>
    <row r="900" spans="1:14" x14ac:dyDescent="0.3">
      <c r="A900" s="36" t="s">
        <v>37</v>
      </c>
      <c r="B900" s="13">
        <v>113</v>
      </c>
      <c r="C900" s="48" t="str">
        <f>HYPERLINK("https://uscode.house.gov/statutes/pl/113/240.pdf", "P.L. 113-240")</f>
        <v>P.L. 113-240</v>
      </c>
      <c r="D900" s="3" t="s">
        <v>1727</v>
      </c>
      <c r="E900" s="3" t="s">
        <v>1728</v>
      </c>
      <c r="F900" s="3" t="s">
        <v>1729</v>
      </c>
      <c r="G900" s="48" t="str">
        <f>HYPERLINK("https://uscode.house.gov/view.xhtml?req=granuleid:USC-prelim-title42-section300b-16&amp;num=0&amp;edition=prelim", "42 U.S.C. 300b-16")</f>
        <v>42 U.S.C. 300b-16</v>
      </c>
      <c r="H900" s="46">
        <v>43738</v>
      </c>
      <c r="I900" s="13">
        <v>2019</v>
      </c>
      <c r="J900" s="47">
        <v>11900000</v>
      </c>
      <c r="K900" s="47">
        <v>20883000</v>
      </c>
      <c r="L900" s="3" t="s">
        <v>60</v>
      </c>
      <c r="M900" s="3" t="s">
        <v>71</v>
      </c>
      <c r="N900" s="3" t="s">
        <v>72</v>
      </c>
    </row>
    <row r="901" spans="1:14" x14ac:dyDescent="0.3">
      <c r="A901" s="36" t="s">
        <v>37</v>
      </c>
      <c r="B901" s="13">
        <v>113</v>
      </c>
      <c r="C901" s="48" t="str">
        <f>HYPERLINK("https://uscode.house.gov/statutes/pl/113/240.pdf", "P.L. 113-240")</f>
        <v>P.L. 113-240</v>
      </c>
      <c r="D901" s="3" t="s">
        <v>1727</v>
      </c>
      <c r="E901" s="3" t="s">
        <v>276</v>
      </c>
      <c r="F901" s="3" t="s">
        <v>1730</v>
      </c>
      <c r="G901" s="48" t="str">
        <f>HYPERLINK("https://uscode.house.gov/view.xhtml?req=granuleid:USC-prelim-title42-section300b-16&amp;num=0&amp;edition=prelim", "42 U.S.C. 300b-16(2)")</f>
        <v>42 U.S.C. 300b-16(2)</v>
      </c>
      <c r="H901" s="46">
        <v>43738</v>
      </c>
      <c r="I901" s="13">
        <v>2019</v>
      </c>
      <c r="J901" s="47">
        <v>8000000</v>
      </c>
      <c r="K901" s="47">
        <v>21000000</v>
      </c>
      <c r="L901" s="3" t="s">
        <v>60</v>
      </c>
      <c r="M901" s="3" t="s">
        <v>71</v>
      </c>
      <c r="N901" s="3" t="s">
        <v>72</v>
      </c>
    </row>
    <row r="902" spans="1:14" x14ac:dyDescent="0.3">
      <c r="A902" s="36" t="s">
        <v>37</v>
      </c>
      <c r="B902" s="13">
        <v>113</v>
      </c>
      <c r="C902" s="48" t="str">
        <f>HYPERLINK("https://uscode.house.gov/statutes/pl/113/272.pdf", "P.L. 113-272")</f>
        <v>P.L. 113-272</v>
      </c>
      <c r="D902" s="3" t="s">
        <v>1731</v>
      </c>
      <c r="E902" s="3" t="s">
        <v>105</v>
      </c>
      <c r="F902" s="3" t="s">
        <v>1732</v>
      </c>
      <c r="G902" s="48" t="str">
        <f>HYPERLINK("https://uscode.house.gov/view.xhtml?req=granuleid:USC-prelim-title22-section8925&amp;num=0&amp;edition=prelim", "22 U.S.C. 8925(c)(1)")</f>
        <v>22 U.S.C. 8925(c)(1)</v>
      </c>
      <c r="H902" s="46">
        <v>43008</v>
      </c>
      <c r="I902" s="13">
        <v>2017</v>
      </c>
      <c r="J902" s="47">
        <v>125000000</v>
      </c>
      <c r="K902" s="16" t="s">
        <v>62</v>
      </c>
      <c r="L902" s="3" t="s">
        <v>80</v>
      </c>
      <c r="M902" s="3" t="s">
        <v>81</v>
      </c>
      <c r="N902" s="3" t="s">
        <v>82</v>
      </c>
    </row>
    <row r="903" spans="1:14" x14ac:dyDescent="0.3">
      <c r="A903" s="36" t="s">
        <v>37</v>
      </c>
      <c r="B903" s="13">
        <v>113</v>
      </c>
      <c r="C903" s="48" t="str">
        <f>HYPERLINK("https://uscode.house.gov/statutes/pl/113/272.pdf", "P.L. 113-272")</f>
        <v>P.L. 113-272</v>
      </c>
      <c r="D903" s="3" t="s">
        <v>1731</v>
      </c>
      <c r="E903" s="3" t="s">
        <v>1733</v>
      </c>
      <c r="F903" s="3" t="s">
        <v>1734</v>
      </c>
      <c r="G903" s="48" t="str">
        <f>HYPERLINK("https://uscode.house.gov/view.xhtml?req=granuleid:USC-prelim-title22-section8926&amp;num=0&amp;edition=prelim", "22 U.S.C. 8926(c)(2)")</f>
        <v>22 U.S.C. 8926(c)(2)</v>
      </c>
      <c r="H903" s="46">
        <v>43373</v>
      </c>
      <c r="I903" s="13">
        <v>2018</v>
      </c>
      <c r="J903" s="16" t="s">
        <v>12</v>
      </c>
      <c r="K903" s="16" t="s">
        <v>62</v>
      </c>
      <c r="L903" s="3" t="s">
        <v>80</v>
      </c>
      <c r="M903" s="3" t="s">
        <v>81</v>
      </c>
      <c r="N903" s="3" t="s">
        <v>82</v>
      </c>
    </row>
    <row r="904" spans="1:14" x14ac:dyDescent="0.3">
      <c r="A904" s="36" t="s">
        <v>37</v>
      </c>
      <c r="B904" s="13">
        <v>113</v>
      </c>
      <c r="C904" s="48" t="str">
        <f>HYPERLINK("https://uscode.house.gov/statutes/pl/113/272.pdf", "P.L. 113-272")</f>
        <v>P.L. 113-272</v>
      </c>
      <c r="D904" s="3" t="s">
        <v>1731</v>
      </c>
      <c r="E904" s="3" t="s">
        <v>1735</v>
      </c>
      <c r="F904" s="3" t="s">
        <v>1736</v>
      </c>
      <c r="G904" s="48" t="str">
        <f>HYPERLINK("https://uscode.house.gov/view.xhtml?req=granuleid:USC-prelim-title22-section8926&amp;num=0&amp;edition=prelim", "22 U.S.C. 8926(d)(3)")</f>
        <v>22 U.S.C. 8926(d)(3)</v>
      </c>
      <c r="H904" s="46">
        <v>42643</v>
      </c>
      <c r="I904" s="13">
        <v>2016</v>
      </c>
      <c r="J904" s="47">
        <v>20000000</v>
      </c>
      <c r="K904" s="16" t="s">
        <v>62</v>
      </c>
      <c r="L904" s="3" t="s">
        <v>80</v>
      </c>
      <c r="M904" s="3" t="s">
        <v>81</v>
      </c>
      <c r="N904" s="3" t="s">
        <v>82</v>
      </c>
    </row>
    <row r="905" spans="1:14" x14ac:dyDescent="0.3">
      <c r="A905" s="36" t="s">
        <v>37</v>
      </c>
      <c r="B905" s="13">
        <v>113</v>
      </c>
      <c r="C905" s="48" t="str">
        <f>HYPERLINK("https://uscode.house.gov/statutes/pl/113/272.pdf", "P.L. 113-272")</f>
        <v>P.L. 113-272</v>
      </c>
      <c r="D905" s="3" t="s">
        <v>1731</v>
      </c>
      <c r="E905" s="3" t="s">
        <v>149</v>
      </c>
      <c r="F905" s="3" t="s">
        <v>1737</v>
      </c>
      <c r="G905" s="49"/>
      <c r="H905" s="46">
        <v>43373</v>
      </c>
      <c r="I905" s="13">
        <v>2018</v>
      </c>
      <c r="J905" s="47">
        <v>10000000</v>
      </c>
      <c r="K905" s="16" t="s">
        <v>62</v>
      </c>
      <c r="L905" s="3" t="s">
        <v>80</v>
      </c>
      <c r="M905" s="3" t="s">
        <v>81</v>
      </c>
      <c r="N905" s="3" t="s">
        <v>82</v>
      </c>
    </row>
    <row r="906" spans="1:14" x14ac:dyDescent="0.3">
      <c r="A906" s="36" t="s">
        <v>37</v>
      </c>
      <c r="B906" s="13">
        <v>113</v>
      </c>
      <c r="C906" s="48" t="str">
        <f>HYPERLINK("https://uscode.house.gov/statutes/pl/113/272.pdf", "P.L. 113-272")</f>
        <v>P.L. 113-272</v>
      </c>
      <c r="D906" s="3" t="s">
        <v>1731</v>
      </c>
      <c r="E906" s="3" t="s">
        <v>207</v>
      </c>
      <c r="F906" s="3" t="s">
        <v>1738</v>
      </c>
      <c r="G906" s="48" t="str">
        <f>HYPERLINK("https://uscode.house.gov/view.xhtml?req=granuleid:USC-prelim-title22-section8928&amp;num=0&amp;edition=prelim", "22 U.S.C. 8928(b)")</f>
        <v>22 U.S.C. 8928(b)</v>
      </c>
      <c r="H906" s="46">
        <v>43373</v>
      </c>
      <c r="I906" s="13">
        <v>2018</v>
      </c>
      <c r="J906" s="47">
        <v>20000000</v>
      </c>
      <c r="K906" s="16" t="s">
        <v>62</v>
      </c>
      <c r="L906" s="3" t="s">
        <v>80</v>
      </c>
      <c r="M906" s="3" t="s">
        <v>81</v>
      </c>
      <c r="N906" s="3" t="s">
        <v>82</v>
      </c>
    </row>
    <row r="907" spans="1:14" x14ac:dyDescent="0.3">
      <c r="A907" s="36" t="s">
        <v>37</v>
      </c>
      <c r="B907" s="13">
        <v>113</v>
      </c>
      <c r="C907" s="48" t="str">
        <f>HYPERLINK("https://uscode.house.gov/statutes/pl/113/287.pdf", "P.L. 113-287")</f>
        <v>P.L. 113-287</v>
      </c>
      <c r="D907" s="3" t="s">
        <v>1739</v>
      </c>
      <c r="E907" s="3" t="s">
        <v>1740</v>
      </c>
      <c r="F907" s="3" t="s">
        <v>1741</v>
      </c>
      <c r="G907" s="48" t="str">
        <f>HYPERLINK("https://uscode.house.gov/view.xhtml?req=granuleid:USC-prelim-title54-section308501&amp;num=0&amp;edition=prelim", "54 U.S.C. 308501")</f>
        <v>54 U.S.C. 308501</v>
      </c>
      <c r="H907" s="46">
        <v>41547</v>
      </c>
      <c r="I907" s="13">
        <v>2013</v>
      </c>
      <c r="J907" s="47">
        <v>1000000</v>
      </c>
      <c r="K907" s="16" t="s">
        <v>62</v>
      </c>
      <c r="L907" s="3" t="s">
        <v>47</v>
      </c>
      <c r="M907" s="3" t="s">
        <v>48</v>
      </c>
      <c r="N907" s="3" t="s">
        <v>49</v>
      </c>
    </row>
    <row r="908" spans="1:14" x14ac:dyDescent="0.3">
      <c r="A908" s="36" t="s">
        <v>37</v>
      </c>
      <c r="B908" s="13">
        <v>113</v>
      </c>
      <c r="C908" s="48" t="str">
        <f>HYPERLINK("https://uscode.house.gov/statutes/pl/113/287.pdf", "P.L. 113-287")</f>
        <v>P.L. 113-287</v>
      </c>
      <c r="D908" s="3" t="s">
        <v>1739</v>
      </c>
      <c r="E908" s="3" t="s">
        <v>1742</v>
      </c>
      <c r="F908" s="3" t="s">
        <v>1743</v>
      </c>
      <c r="G908" s="48" t="str">
        <f>HYPERLINK("https://uscode.house.gov/view.xhtml?req=granuleid:USC-prelim-title54-section308502&amp;num=0&amp;edition=prelim", "54 U.S.C. 308502")</f>
        <v>54 U.S.C. 308502</v>
      </c>
      <c r="H908" s="46">
        <v>41547</v>
      </c>
      <c r="I908" s="13">
        <v>2013</v>
      </c>
      <c r="J908" s="47">
        <v>1000000</v>
      </c>
      <c r="K908" s="16" t="s">
        <v>62</v>
      </c>
      <c r="L908" s="3" t="s">
        <v>47</v>
      </c>
      <c r="M908" s="3" t="s">
        <v>48</v>
      </c>
      <c r="N908" s="3" t="s">
        <v>49</v>
      </c>
    </row>
    <row r="909" spans="1:14" x14ac:dyDescent="0.3">
      <c r="A909" s="36" t="s">
        <v>37</v>
      </c>
      <c r="B909" s="13">
        <v>113</v>
      </c>
      <c r="C909" s="48" t="str">
        <f>HYPERLINK("https://uscode.house.gov/statutes/pl/113/291.pdf", "P.L. 113-291")</f>
        <v>P.L. 113-291</v>
      </c>
      <c r="D909" s="3" t="s">
        <v>1744</v>
      </c>
      <c r="E909" s="3" t="s">
        <v>1745</v>
      </c>
      <c r="F909" s="3" t="s">
        <v>1746</v>
      </c>
      <c r="G909" s="48" t="str">
        <f>HYPERLINK("https://uscode.house.gov/view.xhtml?req=granuleid:USC-prelim-title38-section2101&amp;num=0&amp;edition=prelim", "38 U.S.C. 2101(note)")</f>
        <v>38 U.S.C. 2101(note)</v>
      </c>
      <c r="H909" s="46">
        <v>43738</v>
      </c>
      <c r="I909" s="13">
        <v>2019</v>
      </c>
      <c r="J909" s="47">
        <v>4000000</v>
      </c>
      <c r="K909" s="47">
        <v>1000000</v>
      </c>
      <c r="L909" s="3" t="s">
        <v>156</v>
      </c>
      <c r="M909" s="3" t="s">
        <v>157</v>
      </c>
      <c r="N909" s="3" t="s">
        <v>158</v>
      </c>
    </row>
    <row r="910" spans="1:14" x14ac:dyDescent="0.3">
      <c r="A910" s="36" t="s">
        <v>37</v>
      </c>
      <c r="B910" s="13">
        <v>114</v>
      </c>
      <c r="C910" s="48" t="str">
        <f>HYPERLINK("https://uscode.house.gov/statutes/pl/114/27.pdf", "P.L. 114-27")</f>
        <v>P.L. 114-27</v>
      </c>
      <c r="D910" s="3" t="s">
        <v>1747</v>
      </c>
      <c r="E910" s="3" t="s">
        <v>1748</v>
      </c>
      <c r="F910" s="3" t="s">
        <v>1749</v>
      </c>
      <c r="G910" s="48" t="str">
        <f>HYPERLINK("https://uscode.house.gov/view.xhtml?req=granuleid:USC-prelim-title19-section2317&amp;num=0&amp;edition=prelim", "19 U.S.C. 2317(a)")</f>
        <v>19 U.S.C. 2317(a)</v>
      </c>
      <c r="H910" s="46">
        <v>44377</v>
      </c>
      <c r="I910" s="13">
        <v>2021</v>
      </c>
      <c r="J910" s="16" t="s">
        <v>12</v>
      </c>
      <c r="K910" s="47">
        <v>494400000</v>
      </c>
      <c r="L910" s="3" t="s">
        <v>292</v>
      </c>
      <c r="M910" s="3" t="s">
        <v>418</v>
      </c>
      <c r="N910" s="3" t="s">
        <v>72</v>
      </c>
    </row>
    <row r="911" spans="1:14" x14ac:dyDescent="0.3">
      <c r="A911" s="36" t="s">
        <v>37</v>
      </c>
      <c r="B911" s="13">
        <v>114</v>
      </c>
      <c r="C911" s="48" t="str">
        <f>HYPERLINK("https://uscode.house.gov/statutes/pl/114/27.pdf", "P.L. 114-27")</f>
        <v>P.L. 114-27</v>
      </c>
      <c r="D911" s="3" t="s">
        <v>1747</v>
      </c>
      <c r="E911" s="3" t="s">
        <v>1750</v>
      </c>
      <c r="F911" s="3" t="s">
        <v>1751</v>
      </c>
      <c r="G911" s="48" t="str">
        <f>HYPERLINK("https://uscode.house.gov/view.xhtml?req=granuleid:USC-prelim-title19-section2345&amp;num=0&amp;edition=prelim", "19 U.S.C. 2345(a)")</f>
        <v>19 U.S.C. 2345(a)</v>
      </c>
      <c r="H911" s="46">
        <v>44469</v>
      </c>
      <c r="I911" s="13">
        <v>2021</v>
      </c>
      <c r="J911" s="47">
        <v>16000000</v>
      </c>
      <c r="K911" s="47">
        <v>13500000</v>
      </c>
      <c r="L911" s="3" t="s">
        <v>41</v>
      </c>
      <c r="M911" s="3" t="s">
        <v>42</v>
      </c>
      <c r="N911" s="3" t="s">
        <v>43</v>
      </c>
    </row>
    <row r="912" spans="1:14" x14ac:dyDescent="0.3">
      <c r="A912" s="36" t="s">
        <v>37</v>
      </c>
      <c r="B912" s="13">
        <v>114</v>
      </c>
      <c r="C912" s="48" t="str">
        <f>HYPERLINK("https://uscode.house.gov/statutes/pl/114/27.pdf", "P.L. 114-27")</f>
        <v>P.L. 114-27</v>
      </c>
      <c r="D912" s="3" t="s">
        <v>1747</v>
      </c>
      <c r="E912" s="3" t="s">
        <v>1752</v>
      </c>
      <c r="F912" s="3" t="s">
        <v>1753</v>
      </c>
      <c r="G912" s="48" t="str">
        <f>HYPERLINK("https://uscode.house.gov/view.xhtml?req=granuleid:USC-prelim-title19-section2401&amp;num=0&amp;edition=prelim", "19 U.S.C. 2401(g)")</f>
        <v>19 U.S.C. 2401(g)</v>
      </c>
      <c r="H912" s="46">
        <v>44469</v>
      </c>
      <c r="I912" s="13">
        <v>2021</v>
      </c>
      <c r="J912" s="47">
        <v>90000000</v>
      </c>
      <c r="K912" s="16" t="s">
        <v>62</v>
      </c>
      <c r="L912" s="3" t="s">
        <v>1105</v>
      </c>
      <c r="M912" s="3" t="s">
        <v>586</v>
      </c>
      <c r="N912" s="3" t="s">
        <v>406</v>
      </c>
    </row>
    <row r="913" spans="1:14" x14ac:dyDescent="0.3">
      <c r="A913" s="36" t="s">
        <v>37</v>
      </c>
      <c r="B913" s="13">
        <v>114</v>
      </c>
      <c r="C913" s="48" t="str">
        <f>HYPERLINK("https://uscode.house.gov/statutes/pl/114/52.pdf", "P.L. 114-52")</f>
        <v>P.L. 114-52</v>
      </c>
      <c r="D913" s="3" t="s">
        <v>1754</v>
      </c>
      <c r="E913" s="3" t="s">
        <v>560</v>
      </c>
      <c r="F913" s="3" t="s">
        <v>1755</v>
      </c>
      <c r="G913" s="48" t="str">
        <f>HYPERLINK("https://uscode.house.gov/view.xhtml?req=granuleid:USC-prelim-title42-section15706&amp;num=0&amp;edition=prelim", "42 U.S.C. 15706")</f>
        <v>42 U.S.C. 15706</v>
      </c>
      <c r="H913" s="46">
        <v>43008</v>
      </c>
      <c r="I913" s="13">
        <v>2017</v>
      </c>
      <c r="J913" s="47">
        <v>2266000</v>
      </c>
      <c r="K913" s="16" t="s">
        <v>62</v>
      </c>
      <c r="L913" s="3" t="s">
        <v>135</v>
      </c>
      <c r="M913" s="3" t="s">
        <v>148</v>
      </c>
      <c r="N913" s="3" t="s">
        <v>43</v>
      </c>
    </row>
    <row r="914" spans="1:14" x14ac:dyDescent="0.3">
      <c r="A914" s="36" t="s">
        <v>37</v>
      </c>
      <c r="B914" s="13">
        <v>114</v>
      </c>
      <c r="C914" s="48" t="str">
        <f>HYPERLINK("https://uscode.house.gov/statutes/pl/114/52.pdf", "P.L. 114-52")</f>
        <v>P.L. 114-52</v>
      </c>
      <c r="D914" s="3" t="s">
        <v>1754</v>
      </c>
      <c r="E914" s="3" t="s">
        <v>560</v>
      </c>
      <c r="F914" s="3" t="s">
        <v>1756</v>
      </c>
      <c r="G914" s="48" t="str">
        <f>HYPERLINK("https://uscode.house.gov/view.xhtml?req=granuleid:USC-prelim-title42-section15706&amp;num=0&amp;edition=prelim", "42 U.S.C. 15706")</f>
        <v>42 U.S.C. 15706</v>
      </c>
      <c r="H914" s="46">
        <v>43008</v>
      </c>
      <c r="I914" s="13">
        <v>2017</v>
      </c>
      <c r="J914" s="47">
        <v>9682000</v>
      </c>
      <c r="K914" s="16" t="s">
        <v>62</v>
      </c>
      <c r="L914" s="3" t="s">
        <v>135</v>
      </c>
      <c r="M914" s="3" t="s">
        <v>148</v>
      </c>
      <c r="N914" s="3" t="s">
        <v>43</v>
      </c>
    </row>
    <row r="915" spans="1:14" x14ac:dyDescent="0.3">
      <c r="A915" s="36" t="s">
        <v>37</v>
      </c>
      <c r="B915" s="13">
        <v>114</v>
      </c>
      <c r="C915" s="48" t="str">
        <f>HYPERLINK("https://uscode.house.gov/statutes/pl/114/52.pdf", "P.L. 114-52")</f>
        <v>P.L. 114-52</v>
      </c>
      <c r="D915" s="3" t="s">
        <v>1754</v>
      </c>
      <c r="E915" s="3" t="s">
        <v>560</v>
      </c>
      <c r="F915" s="3" t="s">
        <v>1757</v>
      </c>
      <c r="G915" s="48" t="str">
        <f>HYPERLINK("https://uscode.house.gov/view.xhtml?req=granuleid:USC-prelim-title42-section15706&amp;num=0&amp;edition=prelim", "42 U.S.C. 15706")</f>
        <v>42 U.S.C. 15706</v>
      </c>
      <c r="H915" s="46">
        <v>43008</v>
      </c>
      <c r="I915" s="13">
        <v>2017</v>
      </c>
      <c r="J915" s="47">
        <v>4120000</v>
      </c>
      <c r="K915" s="16" t="s">
        <v>62</v>
      </c>
      <c r="L915" s="3" t="s">
        <v>135</v>
      </c>
      <c r="M915" s="3" t="s">
        <v>148</v>
      </c>
      <c r="N915" s="3" t="s">
        <v>43</v>
      </c>
    </row>
    <row r="916" spans="1:14" x14ac:dyDescent="0.3">
      <c r="A916" s="36" t="s">
        <v>37</v>
      </c>
      <c r="B916" s="13">
        <v>114</v>
      </c>
      <c r="C916" s="48" t="str">
        <f>HYPERLINK("https://uscode.house.gov/statutes/pl/114/52.pdf", "P.L. 114-52")</f>
        <v>P.L. 114-52</v>
      </c>
      <c r="D916" s="3" t="s">
        <v>1754</v>
      </c>
      <c r="E916" s="3" t="s">
        <v>560</v>
      </c>
      <c r="F916" s="3" t="s">
        <v>1758</v>
      </c>
      <c r="G916" s="48" t="str">
        <f>HYPERLINK("https://uscode.house.gov/view.xhtml?req=granuleid:USC-prelim-title42-section15706&amp;num=0&amp;edition=prelim", "42 U.S.C. 15706(a)")</f>
        <v>42 U.S.C. 15706(a)</v>
      </c>
      <c r="H916" s="46">
        <v>43008</v>
      </c>
      <c r="I916" s="13">
        <v>2017</v>
      </c>
      <c r="J916" s="47">
        <v>5332000</v>
      </c>
      <c r="K916" s="16" t="s">
        <v>62</v>
      </c>
      <c r="L916" s="3" t="s">
        <v>109</v>
      </c>
      <c r="M916" s="3" t="s">
        <v>148</v>
      </c>
      <c r="N916" s="3" t="s">
        <v>122</v>
      </c>
    </row>
    <row r="917" spans="1:14" x14ac:dyDescent="0.3">
      <c r="A917" s="36" t="s">
        <v>37</v>
      </c>
      <c r="B917" s="13">
        <v>114</v>
      </c>
      <c r="C917" s="48" t="str">
        <f>HYPERLINK("https://uscode.house.gov/statutes/pl/114/54.pdf", "P.L. 114-54")</f>
        <v>P.L. 114-54</v>
      </c>
      <c r="D917" s="3" t="s">
        <v>1759</v>
      </c>
      <c r="E917" s="3" t="s">
        <v>1760</v>
      </c>
      <c r="F917" s="3" t="s">
        <v>1761</v>
      </c>
      <c r="G917" s="48" t="str">
        <f>HYPERLINK("https://uscode.house.gov/view.xhtml?req=granuleid:USC-prelim-title16-section583j-8&amp;num=0&amp;edition=prelim", "16 U.S.C. 583j-8(b)")</f>
        <v>16 U.S.C. 583j-8(b)</v>
      </c>
      <c r="H917" s="46">
        <v>43373</v>
      </c>
      <c r="I917" s="13">
        <v>2018</v>
      </c>
      <c r="J917" s="47">
        <v>3000000</v>
      </c>
      <c r="K917" s="16" t="s">
        <v>62</v>
      </c>
      <c r="L917" s="3" t="s">
        <v>1105</v>
      </c>
      <c r="M917" s="3" t="s">
        <v>586</v>
      </c>
      <c r="N917" s="3" t="s">
        <v>49</v>
      </c>
    </row>
    <row r="918" spans="1:14" x14ac:dyDescent="0.3">
      <c r="A918" s="36" t="s">
        <v>37</v>
      </c>
      <c r="B918" s="13">
        <v>114</v>
      </c>
      <c r="C918" s="48" t="str">
        <f>HYPERLINK("https://uscode.house.gov/statutes/pl/114/74.pdf", "P.L. 114-74")</f>
        <v>P.L. 114-74</v>
      </c>
      <c r="D918" s="3" t="s">
        <v>1762</v>
      </c>
      <c r="F918" s="3" t="s">
        <v>1763</v>
      </c>
      <c r="G918" s="49"/>
      <c r="H918" s="46">
        <v>44104</v>
      </c>
      <c r="I918" s="13">
        <v>2020</v>
      </c>
      <c r="J918" s="47">
        <v>2000000000</v>
      </c>
      <c r="K918" s="16" t="s">
        <v>62</v>
      </c>
      <c r="L918" s="3" t="s">
        <v>60</v>
      </c>
      <c r="M918" s="3" t="s">
        <v>48</v>
      </c>
      <c r="N918" s="3" t="s">
        <v>58</v>
      </c>
    </row>
    <row r="919" spans="1:14" x14ac:dyDescent="0.3">
      <c r="A919" s="36" t="s">
        <v>37</v>
      </c>
      <c r="B919" s="13">
        <v>114</v>
      </c>
      <c r="C919" s="48" t="str">
        <f>HYPERLINK("https://uscode.house.gov/statutes/pl/114/81.pdf", "P.L. 114-81")</f>
        <v>P.L. 114-81</v>
      </c>
      <c r="D919" s="3" t="s">
        <v>1764</v>
      </c>
      <c r="E919" s="3" t="s">
        <v>1765</v>
      </c>
      <c r="F919" s="3" t="s">
        <v>1766</v>
      </c>
      <c r="G919" s="49"/>
      <c r="H919" s="46">
        <v>44104</v>
      </c>
      <c r="I919" s="13">
        <v>2020</v>
      </c>
      <c r="J919" s="47">
        <v>450000</v>
      </c>
      <c r="K919" s="16" t="s">
        <v>62</v>
      </c>
      <c r="L919" s="3" t="s">
        <v>47</v>
      </c>
      <c r="M919" s="3" t="s">
        <v>48</v>
      </c>
      <c r="N919" s="3" t="s">
        <v>43</v>
      </c>
    </row>
    <row r="920" spans="1:14" x14ac:dyDescent="0.3">
      <c r="A920" s="36" t="s">
        <v>37</v>
      </c>
      <c r="B920" s="13">
        <v>114</v>
      </c>
      <c r="C920" s="48" t="str">
        <f t="shared" ref="C920:C946" si="34">HYPERLINK("https://uscode.house.gov/statutes/pl/114/95.pdf", "P.L. 114-95")</f>
        <v>P.L. 114-95</v>
      </c>
      <c r="D920" s="3" t="s">
        <v>1767</v>
      </c>
      <c r="E920" s="3" t="s">
        <v>1768</v>
      </c>
      <c r="F920" s="3" t="s">
        <v>1769</v>
      </c>
      <c r="G920" s="48" t="str">
        <f>HYPERLINK("https://uscode.house.gov/view.xhtml?req=granuleid:USC-prelim-title20-section6302&amp;num=0&amp;edition=prelim", "20 U.S.C. 6302(a)(4)")</f>
        <v>20 U.S.C. 6302(a)(4)</v>
      </c>
      <c r="H920" s="46">
        <v>44104</v>
      </c>
      <c r="I920" s="13">
        <v>2020</v>
      </c>
      <c r="J920" s="47">
        <v>16182345000</v>
      </c>
      <c r="K920" s="47">
        <v>18386802000</v>
      </c>
      <c r="L920" s="3" t="s">
        <v>130</v>
      </c>
      <c r="M920" s="3" t="s">
        <v>71</v>
      </c>
      <c r="N920" s="3" t="s">
        <v>72</v>
      </c>
    </row>
    <row r="921" spans="1:14" x14ac:dyDescent="0.3">
      <c r="A921" s="36" t="s">
        <v>37</v>
      </c>
      <c r="B921" s="13">
        <v>114</v>
      </c>
      <c r="C921" s="48" t="str">
        <f t="shared" si="34"/>
        <v>P.L. 114-95</v>
      </c>
      <c r="D921" s="3" t="s">
        <v>1767</v>
      </c>
      <c r="E921" s="3" t="s">
        <v>1770</v>
      </c>
      <c r="F921" s="3" t="s">
        <v>1771</v>
      </c>
      <c r="G921" s="48" t="str">
        <f>HYPERLINK("https://uscode.house.gov/view.xhtml?req=granuleid:USC-prelim-title20-section6302&amp;num=0&amp;edition=prelim", "20 U.S.C. 6302(b)")</f>
        <v>20 U.S.C. 6302(b)</v>
      </c>
      <c r="H921" s="46">
        <v>44104</v>
      </c>
      <c r="I921" s="13">
        <v>2020</v>
      </c>
      <c r="J921" s="47">
        <v>378000000</v>
      </c>
      <c r="K921" s="47">
        <v>390000000</v>
      </c>
      <c r="L921" s="3" t="s">
        <v>130</v>
      </c>
      <c r="M921" s="3" t="s">
        <v>71</v>
      </c>
      <c r="N921" s="3" t="s">
        <v>72</v>
      </c>
    </row>
    <row r="922" spans="1:14" x14ac:dyDescent="0.3">
      <c r="A922" s="36" t="s">
        <v>37</v>
      </c>
      <c r="B922" s="13">
        <v>114</v>
      </c>
      <c r="C922" s="48" t="str">
        <f t="shared" si="34"/>
        <v>P.L. 114-95</v>
      </c>
      <c r="D922" s="3" t="s">
        <v>1767</v>
      </c>
      <c r="E922" s="3" t="s">
        <v>1772</v>
      </c>
      <c r="F922" s="3" t="s">
        <v>1773</v>
      </c>
      <c r="G922" s="48" t="str">
        <f>HYPERLINK("https://uscode.house.gov/view.xhtml?req=granuleid:USC-prelim-title20-section6302&amp;num=0&amp;edition=prelim", "20 U.S.C. 6302(c)")</f>
        <v>20 U.S.C. 6302(c)</v>
      </c>
      <c r="H922" s="46">
        <v>44104</v>
      </c>
      <c r="I922" s="13">
        <v>2020</v>
      </c>
      <c r="J922" s="47">
        <v>374751000</v>
      </c>
      <c r="K922" s="47">
        <v>375626000</v>
      </c>
      <c r="L922" s="3" t="s">
        <v>130</v>
      </c>
      <c r="M922" s="3" t="s">
        <v>71</v>
      </c>
      <c r="N922" s="3" t="s">
        <v>72</v>
      </c>
    </row>
    <row r="923" spans="1:14" x14ac:dyDescent="0.3">
      <c r="A923" s="36" t="s">
        <v>37</v>
      </c>
      <c r="B923" s="13">
        <v>114</v>
      </c>
      <c r="C923" s="48" t="str">
        <f t="shared" si="34"/>
        <v>P.L. 114-95</v>
      </c>
      <c r="D923" s="3" t="s">
        <v>1767</v>
      </c>
      <c r="E923" s="3" t="s">
        <v>1774</v>
      </c>
      <c r="F923" s="3" t="s">
        <v>1775</v>
      </c>
      <c r="G923" s="48" t="str">
        <f>HYPERLINK("https://uscode.house.gov/view.xhtml?req=granuleid:USC-prelim-title20-section6302&amp;num=0&amp;edition=prelim", "20 U.S.C. 6302(d)")</f>
        <v>20 U.S.C. 6302(d)</v>
      </c>
      <c r="H923" s="46">
        <v>44104</v>
      </c>
      <c r="I923" s="13">
        <v>2020</v>
      </c>
      <c r="J923" s="47">
        <v>47614000</v>
      </c>
      <c r="K923" s="47">
        <v>49239000</v>
      </c>
      <c r="L923" s="3" t="s">
        <v>130</v>
      </c>
      <c r="M923" s="3" t="s">
        <v>71</v>
      </c>
      <c r="N923" s="3" t="s">
        <v>72</v>
      </c>
    </row>
    <row r="924" spans="1:14" x14ac:dyDescent="0.3">
      <c r="A924" s="36" t="s">
        <v>37</v>
      </c>
      <c r="B924" s="13">
        <v>114</v>
      </c>
      <c r="C924" s="48" t="str">
        <f t="shared" si="34"/>
        <v>P.L. 114-95</v>
      </c>
      <c r="D924" s="3" t="s">
        <v>1767</v>
      </c>
      <c r="E924" s="3" t="s">
        <v>1776</v>
      </c>
      <c r="F924" s="3" t="s">
        <v>1777</v>
      </c>
      <c r="G924" s="48" t="str">
        <f>HYPERLINK("https://uscode.house.gov/view.xhtml?req=granuleid:USC-prelim-title20-section6302&amp;num=0&amp;edition=prelim", "20 U.S.C. 6302(e)")</f>
        <v>20 U.S.C. 6302(e)</v>
      </c>
      <c r="H924" s="46">
        <v>44104</v>
      </c>
      <c r="I924" s="13">
        <v>2020</v>
      </c>
      <c r="J924" s="47">
        <v>710000</v>
      </c>
      <c r="K924" s="16" t="s">
        <v>62</v>
      </c>
      <c r="L924" s="3" t="s">
        <v>130</v>
      </c>
      <c r="M924" s="3" t="s">
        <v>71</v>
      </c>
      <c r="N924" s="3" t="s">
        <v>72</v>
      </c>
    </row>
    <row r="925" spans="1:14" x14ac:dyDescent="0.3">
      <c r="A925" s="36" t="s">
        <v>37</v>
      </c>
      <c r="B925" s="13">
        <v>114</v>
      </c>
      <c r="C925" s="48" t="str">
        <f t="shared" si="34"/>
        <v>P.L. 114-95</v>
      </c>
      <c r="D925" s="3" t="s">
        <v>1767</v>
      </c>
      <c r="E925" s="3" t="s">
        <v>1778</v>
      </c>
      <c r="F925" s="3" t="s">
        <v>1779</v>
      </c>
      <c r="G925" s="48" t="str">
        <f>HYPERLINK("https://uscode.house.gov/view.xhtml?req=granuleid:USC-prelim-title20-section6603&amp;num=0&amp;edition=prelim", "20 U.S.C. 6603(a)")</f>
        <v>20 U.S.C. 6603(a)</v>
      </c>
      <c r="H925" s="46">
        <v>44104</v>
      </c>
      <c r="I925" s="13">
        <v>2020</v>
      </c>
      <c r="J925" s="47">
        <v>2295830000</v>
      </c>
      <c r="K925" s="47">
        <v>2190080000</v>
      </c>
      <c r="L925" s="3" t="s">
        <v>130</v>
      </c>
      <c r="M925" s="3" t="s">
        <v>71</v>
      </c>
      <c r="N925" s="3" t="s">
        <v>72</v>
      </c>
    </row>
    <row r="926" spans="1:14" x14ac:dyDescent="0.3">
      <c r="A926" s="36" t="s">
        <v>37</v>
      </c>
      <c r="B926" s="13">
        <v>114</v>
      </c>
      <c r="C926" s="48" t="str">
        <f t="shared" si="34"/>
        <v>P.L. 114-95</v>
      </c>
      <c r="D926" s="3" t="s">
        <v>1767</v>
      </c>
      <c r="E926" s="3" t="s">
        <v>1780</v>
      </c>
      <c r="F926" s="3" t="s">
        <v>1781</v>
      </c>
      <c r="G926" s="48" t="str">
        <f>HYPERLINK("https://uscode.house.gov/view.xhtml?req=granuleid:USC-prelim-title20-section6603&amp;num=0&amp;edition=prelim", "20 U.S.C. 6603(b)")</f>
        <v>20 U.S.C. 6603(b)</v>
      </c>
      <c r="H926" s="46">
        <v>44104</v>
      </c>
      <c r="I926" s="13">
        <v>2020</v>
      </c>
      <c r="J926" s="47">
        <v>489168000</v>
      </c>
      <c r="K926" s="47">
        <v>480000000</v>
      </c>
      <c r="L926" s="3" t="s">
        <v>130</v>
      </c>
      <c r="M926" s="3" t="s">
        <v>71</v>
      </c>
      <c r="N926" s="3" t="s">
        <v>72</v>
      </c>
    </row>
    <row r="927" spans="1:14" x14ac:dyDescent="0.3">
      <c r="A927" s="36" t="s">
        <v>37</v>
      </c>
      <c r="B927" s="13">
        <v>114</v>
      </c>
      <c r="C927" s="48" t="str">
        <f t="shared" si="34"/>
        <v>P.L. 114-95</v>
      </c>
      <c r="D927" s="3" t="s">
        <v>1767</v>
      </c>
      <c r="E927" s="3" t="s">
        <v>1782</v>
      </c>
      <c r="F927" s="3" t="s">
        <v>1783</v>
      </c>
      <c r="G927" s="48" t="str">
        <f>HYPERLINK("https://uscode.house.gov/view.xhtml?req=granuleid:USC-prelim-title20-section6801&amp;num=0&amp;edition=prelim", "20 U.S.C. 6801(4)")</f>
        <v>20 U.S.C. 6801(4)</v>
      </c>
      <c r="H927" s="46">
        <v>44104</v>
      </c>
      <c r="I927" s="13">
        <v>2020</v>
      </c>
      <c r="J927" s="47">
        <v>884960000</v>
      </c>
      <c r="K927" s="47">
        <v>890000000</v>
      </c>
      <c r="L927" s="3" t="s">
        <v>130</v>
      </c>
      <c r="M927" s="3" t="s">
        <v>71</v>
      </c>
      <c r="N927" s="3" t="s">
        <v>72</v>
      </c>
    </row>
    <row r="928" spans="1:14" x14ac:dyDescent="0.3">
      <c r="A928" s="36" t="s">
        <v>37</v>
      </c>
      <c r="B928" s="13">
        <v>114</v>
      </c>
      <c r="C928" s="48" t="str">
        <f t="shared" si="34"/>
        <v>P.L. 114-95</v>
      </c>
      <c r="D928" s="3" t="s">
        <v>1767</v>
      </c>
      <c r="E928" s="3" t="s">
        <v>1784</v>
      </c>
      <c r="F928" s="3" t="s">
        <v>1785</v>
      </c>
      <c r="G928" s="48" t="str">
        <f>HYPERLINK("https://uscode.house.gov/view.xhtml?req=granuleid:USC-prelim-title20-section7122&amp;num=0&amp;edition=prelim", "20 U.S.C. 7122(a)")</f>
        <v>20 U.S.C. 7122(a)</v>
      </c>
      <c r="H928" s="46">
        <v>44104</v>
      </c>
      <c r="I928" s="13">
        <v>2020</v>
      </c>
      <c r="J928" s="47">
        <v>1600000000</v>
      </c>
      <c r="K928" s="47">
        <v>1380000000</v>
      </c>
      <c r="L928" s="3" t="s">
        <v>130</v>
      </c>
      <c r="M928" s="3" t="s">
        <v>71</v>
      </c>
      <c r="N928" s="3" t="s">
        <v>72</v>
      </c>
    </row>
    <row r="929" spans="1:14" x14ac:dyDescent="0.3">
      <c r="A929" s="36" t="s">
        <v>37</v>
      </c>
      <c r="B929" s="13">
        <v>114</v>
      </c>
      <c r="C929" s="48" t="str">
        <f t="shared" si="34"/>
        <v>P.L. 114-95</v>
      </c>
      <c r="D929" s="3" t="s">
        <v>1767</v>
      </c>
      <c r="E929" s="3" t="s">
        <v>1786</v>
      </c>
      <c r="F929" s="3" t="s">
        <v>1787</v>
      </c>
      <c r="G929" s="48" t="str">
        <f>HYPERLINK("https://uscode.house.gov/view.xhtml?req=granuleid:USC-prelim-title20-section7176&amp;num=0&amp;edition=prelim", "20 U.S.C. 7176")</f>
        <v>20 U.S.C. 7176</v>
      </c>
      <c r="H929" s="46">
        <v>44104</v>
      </c>
      <c r="I929" s="13">
        <v>2020</v>
      </c>
      <c r="J929" s="47">
        <v>1100000000</v>
      </c>
      <c r="K929" s="47">
        <v>1329673000</v>
      </c>
      <c r="L929" s="3" t="s">
        <v>130</v>
      </c>
      <c r="M929" s="3" t="s">
        <v>71</v>
      </c>
      <c r="N929" s="3" t="s">
        <v>72</v>
      </c>
    </row>
    <row r="930" spans="1:14" x14ac:dyDescent="0.3">
      <c r="A930" s="36" t="s">
        <v>37</v>
      </c>
      <c r="B930" s="13">
        <v>114</v>
      </c>
      <c r="C930" s="48" t="str">
        <f t="shared" si="34"/>
        <v>P.L. 114-95</v>
      </c>
      <c r="D930" s="3" t="s">
        <v>1767</v>
      </c>
      <c r="E930" s="3" t="s">
        <v>1788</v>
      </c>
      <c r="F930" s="3" t="s">
        <v>1789</v>
      </c>
      <c r="G930" s="48" t="str">
        <f>HYPERLINK("https://uscode.house.gov/view.xhtml?req=granuleid:USC-prelim-title20-section7221&amp;num=0&amp;edition=prelim", "20 U.S.C. 7221(j)(4)")</f>
        <v>20 U.S.C. 7221(j)(4)</v>
      </c>
      <c r="H930" s="46">
        <v>44104</v>
      </c>
      <c r="I930" s="13">
        <v>2020</v>
      </c>
      <c r="J930" s="47">
        <v>300000000</v>
      </c>
      <c r="K930" s="47">
        <v>440000000</v>
      </c>
      <c r="L930" s="3" t="s">
        <v>130</v>
      </c>
      <c r="M930" s="3" t="s">
        <v>71</v>
      </c>
      <c r="N930" s="3" t="s">
        <v>72</v>
      </c>
    </row>
    <row r="931" spans="1:14" x14ac:dyDescent="0.3">
      <c r="A931" s="36" t="s">
        <v>37</v>
      </c>
      <c r="B931" s="13">
        <v>114</v>
      </c>
      <c r="C931" s="48" t="str">
        <f t="shared" si="34"/>
        <v>P.L. 114-95</v>
      </c>
      <c r="D931" s="3" t="s">
        <v>1767</v>
      </c>
      <c r="E931" s="3" t="s">
        <v>1790</v>
      </c>
      <c r="F931" s="3" t="s">
        <v>1791</v>
      </c>
      <c r="G931" s="48" t="str">
        <f>HYPERLINK("https://uscode.house.gov/view.xhtml?req=granuleid:USC-prelim-title20-section7231&amp;num=0&amp;edition=prelim", "20 U.S.C. 7231(j)(4)")</f>
        <v>20 U.S.C. 7231(j)(4)</v>
      </c>
      <c r="H931" s="46">
        <v>44104</v>
      </c>
      <c r="I931" s="13">
        <v>2020</v>
      </c>
      <c r="J931" s="47">
        <v>108530000</v>
      </c>
      <c r="K931" s="47">
        <v>139000000</v>
      </c>
      <c r="L931" s="3" t="s">
        <v>130</v>
      </c>
      <c r="M931" s="3" t="s">
        <v>71</v>
      </c>
      <c r="N931" s="3" t="s">
        <v>72</v>
      </c>
    </row>
    <row r="932" spans="1:14" x14ac:dyDescent="0.3">
      <c r="A932" s="36" t="s">
        <v>37</v>
      </c>
      <c r="B932" s="13">
        <v>114</v>
      </c>
      <c r="C932" s="48" t="str">
        <f t="shared" si="34"/>
        <v>P.L. 114-95</v>
      </c>
      <c r="D932" s="3" t="s">
        <v>1767</v>
      </c>
      <c r="E932" s="3" t="s">
        <v>1792</v>
      </c>
      <c r="F932" s="3" t="s">
        <v>1793</v>
      </c>
      <c r="G932" s="48" t="str">
        <f>HYPERLINK("https://uscode.house.gov/view.xhtml?req=granuleid:USC-prelim-title20-section7246&amp;num=0&amp;edition=prelim", "20 U.S.C. 7246")</f>
        <v>20 U.S.C. 7246</v>
      </c>
      <c r="H932" s="46">
        <v>44104</v>
      </c>
      <c r="I932" s="13">
        <v>2020</v>
      </c>
      <c r="J932" s="47">
        <v>10000000</v>
      </c>
      <c r="K932" s="47">
        <v>20000000</v>
      </c>
      <c r="L932" s="3" t="s">
        <v>130</v>
      </c>
      <c r="M932" s="3" t="s">
        <v>71</v>
      </c>
      <c r="N932" s="3" t="s">
        <v>72</v>
      </c>
    </row>
    <row r="933" spans="1:14" x14ac:dyDescent="0.3">
      <c r="A933" s="36" t="s">
        <v>37</v>
      </c>
      <c r="B933" s="13">
        <v>114</v>
      </c>
      <c r="C933" s="48" t="str">
        <f t="shared" si="34"/>
        <v>P.L. 114-95</v>
      </c>
      <c r="D933" s="3" t="s">
        <v>1767</v>
      </c>
      <c r="E933" s="3" t="s">
        <v>1794</v>
      </c>
      <c r="F933" s="3" t="s">
        <v>1795</v>
      </c>
      <c r="G933" s="48" t="str">
        <f>HYPERLINK("https://uscode.house.gov/view.xhtml?req=granuleid:USC-prelim-title20-section7151&amp;num=0&amp;edition=prelim", "20 U.S.C. 7151(a)(2)")</f>
        <v>20 U.S.C. 7151(a)(2)</v>
      </c>
      <c r="H933" s="46">
        <v>44104</v>
      </c>
      <c r="I933" s="13">
        <v>2020</v>
      </c>
      <c r="J933" s="47">
        <v>220741000</v>
      </c>
      <c r="K933" s="47">
        <v>284000000</v>
      </c>
      <c r="L933" s="3" t="s">
        <v>130</v>
      </c>
      <c r="M933" s="3" t="s">
        <v>71</v>
      </c>
      <c r="N933" s="3" t="s">
        <v>72</v>
      </c>
    </row>
    <row r="934" spans="1:14" x14ac:dyDescent="0.3">
      <c r="A934" s="36" t="s">
        <v>37</v>
      </c>
      <c r="B934" s="13">
        <v>114</v>
      </c>
      <c r="C934" s="48" t="str">
        <f t="shared" si="34"/>
        <v>P.L. 114-95</v>
      </c>
      <c r="D934" s="3" t="s">
        <v>1767</v>
      </c>
      <c r="E934" s="3" t="s">
        <v>1796</v>
      </c>
      <c r="F934" s="3" t="s">
        <v>1797</v>
      </c>
      <c r="G934" s="48" t="str">
        <f>HYPERLINK("https://uscode.house.gov/view.xhtml?req=granuleid:USC-prelim-title20-section7355c&amp;num=0&amp;edition=prelim", "20 U.S.C. 7355c")</f>
        <v>20 U.S.C. 7355c</v>
      </c>
      <c r="H934" s="46">
        <v>44104</v>
      </c>
      <c r="I934" s="13">
        <v>2020</v>
      </c>
      <c r="J934" s="47">
        <v>169840000</v>
      </c>
      <c r="K934" s="47">
        <v>215000000</v>
      </c>
      <c r="L934" s="3" t="s">
        <v>130</v>
      </c>
      <c r="M934" s="3" t="s">
        <v>71</v>
      </c>
      <c r="N934" s="3" t="s">
        <v>72</v>
      </c>
    </row>
    <row r="935" spans="1:14" x14ac:dyDescent="0.3">
      <c r="A935" s="36" t="s">
        <v>37</v>
      </c>
      <c r="B935" s="13">
        <v>114</v>
      </c>
      <c r="C935" s="48" t="str">
        <f t="shared" si="34"/>
        <v>P.L. 114-95</v>
      </c>
      <c r="D935" s="3" t="s">
        <v>1767</v>
      </c>
      <c r="E935" s="3" t="s">
        <v>1798</v>
      </c>
      <c r="F935" s="3" t="s">
        <v>1799</v>
      </c>
      <c r="G935" s="48" t="str">
        <f>HYPERLINK("https://uscode.house.gov/view.xhtml?req=granuleid:USC-prelim-title20-section7492&amp;num=0&amp;edition=prelim", "20 U.S.C. 7492(a)")</f>
        <v>20 U.S.C. 7492(a)</v>
      </c>
      <c r="H935" s="46">
        <v>44104</v>
      </c>
      <c r="I935" s="13">
        <v>2020</v>
      </c>
      <c r="J935" s="47">
        <v>106525000</v>
      </c>
      <c r="K935" s="47">
        <v>110381000</v>
      </c>
      <c r="L935" s="3" t="s">
        <v>130</v>
      </c>
      <c r="M935" s="3" t="s">
        <v>71</v>
      </c>
      <c r="N935" s="3" t="s">
        <v>72</v>
      </c>
    </row>
    <row r="936" spans="1:14" x14ac:dyDescent="0.3">
      <c r="A936" s="36" t="s">
        <v>37</v>
      </c>
      <c r="B936" s="13">
        <v>114</v>
      </c>
      <c r="C936" s="48" t="str">
        <f t="shared" si="34"/>
        <v>P.L. 114-95</v>
      </c>
      <c r="D936" s="3" t="s">
        <v>1767</v>
      </c>
      <c r="E936" s="3" t="s">
        <v>1798</v>
      </c>
      <c r="F936" s="3" t="s">
        <v>1800</v>
      </c>
      <c r="G936" s="48" t="str">
        <f>HYPERLINK("https://uscode.house.gov/view.xhtml?req=granuleid:USC-prelim-title20-section7492&amp;num=0&amp;edition=prelim", "20 U.S.C. 7492(b)")</f>
        <v>20 U.S.C. 7492(b)</v>
      </c>
      <c r="H936" s="46">
        <v>44104</v>
      </c>
      <c r="I936" s="13">
        <v>2020</v>
      </c>
      <c r="J936" s="47">
        <v>17993000</v>
      </c>
      <c r="K936" s="47">
        <v>72000000</v>
      </c>
      <c r="L936" s="3" t="s">
        <v>130</v>
      </c>
      <c r="M936" s="3" t="s">
        <v>71</v>
      </c>
      <c r="N936" s="3" t="s">
        <v>72</v>
      </c>
    </row>
    <row r="937" spans="1:14" x14ac:dyDescent="0.3">
      <c r="A937" s="36" t="s">
        <v>37</v>
      </c>
      <c r="B937" s="13">
        <v>114</v>
      </c>
      <c r="C937" s="48" t="str">
        <f t="shared" si="34"/>
        <v>P.L. 114-95</v>
      </c>
      <c r="D937" s="3" t="s">
        <v>1767</v>
      </c>
      <c r="E937" s="3" t="s">
        <v>1798</v>
      </c>
      <c r="F937" s="3" t="s">
        <v>1801</v>
      </c>
      <c r="G937" s="48" t="str">
        <f>HYPERLINK("https://uscode.house.gov/view.xhtml?req=granuleid:USC-prelim-title20-section7492&amp;num=0&amp;edition=prelim", "20 U.S.C. 7492(c)")</f>
        <v>20 U.S.C. 7492(c)</v>
      </c>
      <c r="H937" s="46">
        <v>44104</v>
      </c>
      <c r="I937" s="13">
        <v>2020</v>
      </c>
      <c r="J937" s="47">
        <v>5565000</v>
      </c>
      <c r="K937" s="47">
        <v>12365000</v>
      </c>
      <c r="L937" s="3" t="s">
        <v>130</v>
      </c>
      <c r="M937" s="3" t="s">
        <v>71</v>
      </c>
      <c r="N937" s="3" t="s">
        <v>72</v>
      </c>
    </row>
    <row r="938" spans="1:14" x14ac:dyDescent="0.3">
      <c r="A938" s="36" t="s">
        <v>37</v>
      </c>
      <c r="B938" s="13">
        <v>114</v>
      </c>
      <c r="C938" s="48" t="str">
        <f t="shared" si="34"/>
        <v>P.L. 114-95</v>
      </c>
      <c r="D938" s="3" t="s">
        <v>1767</v>
      </c>
      <c r="E938" s="3" t="s">
        <v>1802</v>
      </c>
      <c r="F938" s="3" t="s">
        <v>1803</v>
      </c>
      <c r="G938" s="48" t="str">
        <f>HYPERLINK("https://uscode.house.gov/view.xhtml?req=granuleid:USC-prelim-title20-section7515&amp;num=0&amp;edition=prelim", "20 U.S.C. 7515(c)")</f>
        <v>20 U.S.C. 7515(c)</v>
      </c>
      <c r="H938" s="46">
        <v>44104</v>
      </c>
      <c r="I938" s="13">
        <v>2020</v>
      </c>
      <c r="J938" s="47">
        <v>32397000</v>
      </c>
      <c r="K938" s="47">
        <v>45897000</v>
      </c>
      <c r="L938" s="3" t="s">
        <v>130</v>
      </c>
      <c r="M938" s="3" t="s">
        <v>71</v>
      </c>
      <c r="N938" s="3" t="s">
        <v>72</v>
      </c>
    </row>
    <row r="939" spans="1:14" x14ac:dyDescent="0.3">
      <c r="A939" s="36" t="s">
        <v>37</v>
      </c>
      <c r="B939" s="13">
        <v>114</v>
      </c>
      <c r="C939" s="48" t="str">
        <f t="shared" si="34"/>
        <v>P.L. 114-95</v>
      </c>
      <c r="D939" s="3" t="s">
        <v>1767</v>
      </c>
      <c r="E939" s="3" t="s">
        <v>1804</v>
      </c>
      <c r="F939" s="3" t="s">
        <v>1805</v>
      </c>
      <c r="G939" s="48" t="str">
        <f>HYPERLINK("https://uscode.house.gov/view.xhtml?req=granuleid:USC-prelim-title20-section7544&amp;num=0&amp;edition=prelim", "20 U.S.C. 7544(b)")</f>
        <v>20 U.S.C. 7544(b)</v>
      </c>
      <c r="H939" s="46">
        <v>44104</v>
      </c>
      <c r="I939" s="13">
        <v>2020</v>
      </c>
      <c r="J939" s="47">
        <v>31453000</v>
      </c>
      <c r="K939" s="47">
        <v>44953000</v>
      </c>
      <c r="L939" s="3" t="s">
        <v>130</v>
      </c>
      <c r="M939" s="3" t="s">
        <v>71</v>
      </c>
      <c r="N939" s="3" t="s">
        <v>72</v>
      </c>
    </row>
    <row r="940" spans="1:14" x14ac:dyDescent="0.3">
      <c r="A940" s="36" t="s">
        <v>37</v>
      </c>
      <c r="B940" s="13">
        <v>114</v>
      </c>
      <c r="C940" s="48" t="str">
        <f t="shared" si="34"/>
        <v>P.L. 114-95</v>
      </c>
      <c r="D940" s="3" t="s">
        <v>1767</v>
      </c>
      <c r="E940" s="3" t="s">
        <v>1806</v>
      </c>
      <c r="F940" s="3" t="s">
        <v>1807</v>
      </c>
      <c r="G940" s="48" t="str">
        <f>HYPERLINK("https://uscode.house.gov/view.xhtml?req=granuleid:USC-prelim-title20-section7714&amp;num=0&amp;edition=prelim", "20 U.S.C. 7714(a)")</f>
        <v>20 U.S.C. 7714(a)</v>
      </c>
      <c r="H940" s="46">
        <v>44104</v>
      </c>
      <c r="I940" s="13">
        <v>2020</v>
      </c>
      <c r="J940" s="47">
        <v>71998000</v>
      </c>
      <c r="K940" s="47">
        <v>78313000</v>
      </c>
      <c r="L940" s="3" t="s">
        <v>130</v>
      </c>
      <c r="M940" s="3" t="s">
        <v>71</v>
      </c>
      <c r="N940" s="3" t="s">
        <v>72</v>
      </c>
    </row>
    <row r="941" spans="1:14" x14ac:dyDescent="0.3">
      <c r="A941" s="36" t="s">
        <v>37</v>
      </c>
      <c r="B941" s="13">
        <v>114</v>
      </c>
      <c r="C941" s="48" t="str">
        <f t="shared" si="34"/>
        <v>P.L. 114-95</v>
      </c>
      <c r="D941" s="3" t="s">
        <v>1767</v>
      </c>
      <c r="E941" s="3" t="s">
        <v>1806</v>
      </c>
      <c r="F941" s="3" t="s">
        <v>1808</v>
      </c>
      <c r="G941" s="48" t="str">
        <f>HYPERLINK("https://uscode.house.gov/view.xhtml?req=granuleid:USC-prelim-title20-section7714&amp;num=0&amp;edition=prelim", "20 U.S.C. 7714(b)")</f>
        <v>20 U.S.C. 7714(b)</v>
      </c>
      <c r="H941" s="46">
        <v>44104</v>
      </c>
      <c r="I941" s="13">
        <v>2020</v>
      </c>
      <c r="J941" s="47">
        <v>1240573000</v>
      </c>
      <c r="K941" s="47">
        <v>1468242000</v>
      </c>
      <c r="L941" s="3" t="s">
        <v>130</v>
      </c>
      <c r="M941" s="3" t="s">
        <v>71</v>
      </c>
      <c r="N941" s="3" t="s">
        <v>72</v>
      </c>
    </row>
    <row r="942" spans="1:14" x14ac:dyDescent="0.3">
      <c r="A942" s="36" t="s">
        <v>37</v>
      </c>
      <c r="B942" s="13">
        <v>114</v>
      </c>
      <c r="C942" s="48" t="str">
        <f t="shared" si="34"/>
        <v>P.L. 114-95</v>
      </c>
      <c r="D942" s="3" t="s">
        <v>1767</v>
      </c>
      <c r="E942" s="3" t="s">
        <v>1806</v>
      </c>
      <c r="F942" s="3" t="s">
        <v>1809</v>
      </c>
      <c r="G942" s="48" t="str">
        <f>HYPERLINK("https://uscode.house.gov/view.xhtml?req=granuleid:USC-prelim-title20-section7714&amp;num=0&amp;edition=prelim", "20 U.S.C. 7714(c)")</f>
        <v>20 U.S.C. 7714(c)</v>
      </c>
      <c r="H942" s="46">
        <v>44104</v>
      </c>
      <c r="I942" s="13">
        <v>2020</v>
      </c>
      <c r="J942" s="47">
        <v>52065000</v>
      </c>
      <c r="K942" s="47">
        <v>48316000</v>
      </c>
      <c r="L942" s="3" t="s">
        <v>130</v>
      </c>
      <c r="M942" s="3" t="s">
        <v>71</v>
      </c>
      <c r="N942" s="3" t="s">
        <v>72</v>
      </c>
    </row>
    <row r="943" spans="1:14" x14ac:dyDescent="0.3">
      <c r="A943" s="36" t="s">
        <v>37</v>
      </c>
      <c r="B943" s="13">
        <v>114</v>
      </c>
      <c r="C943" s="48" t="str">
        <f t="shared" si="34"/>
        <v>P.L. 114-95</v>
      </c>
      <c r="D943" s="3" t="s">
        <v>1767</v>
      </c>
      <c r="E943" s="3" t="s">
        <v>1806</v>
      </c>
      <c r="F943" s="3" t="s">
        <v>1810</v>
      </c>
      <c r="G943" s="48" t="str">
        <f>HYPERLINK("https://uscode.house.gov/view.xhtml?req=granuleid:USC-prelim-title20-section7714&amp;num=0&amp;edition=prelim", "20 U.S.C. 7714(d)")</f>
        <v>20 U.S.C. 7714(d)</v>
      </c>
      <c r="H943" s="46">
        <v>44104</v>
      </c>
      <c r="I943" s="13">
        <v>2020</v>
      </c>
      <c r="J943" s="47">
        <v>18757000</v>
      </c>
      <c r="K943" s="47">
        <v>18406000</v>
      </c>
      <c r="L943" s="3" t="s">
        <v>130</v>
      </c>
      <c r="M943" s="3" t="s">
        <v>71</v>
      </c>
      <c r="N943" s="3" t="s">
        <v>72</v>
      </c>
    </row>
    <row r="944" spans="1:14" x14ac:dyDescent="0.3">
      <c r="A944" s="36" t="s">
        <v>37</v>
      </c>
      <c r="B944" s="13">
        <v>114</v>
      </c>
      <c r="C944" s="48" t="str">
        <f t="shared" si="34"/>
        <v>P.L. 114-95</v>
      </c>
      <c r="D944" s="3" t="s">
        <v>1767</v>
      </c>
      <c r="E944" s="3" t="s">
        <v>1806</v>
      </c>
      <c r="F944" s="3" t="s">
        <v>1811</v>
      </c>
      <c r="G944" s="48" t="str">
        <f>HYPERLINK("https://uscode.house.gov/view.xhtml?req=granuleid:USC-prelim-title20-section7714&amp;num=0&amp;edition=prelim", "20 U.S.C. 7714(e)")</f>
        <v>20 U.S.C. 7714(e)</v>
      </c>
      <c r="H944" s="46">
        <v>44104</v>
      </c>
      <c r="I944" s="13">
        <v>2020</v>
      </c>
      <c r="J944" s="47">
        <v>5210000</v>
      </c>
      <c r="K944" s="47">
        <v>4835000</v>
      </c>
      <c r="L944" s="3" t="s">
        <v>130</v>
      </c>
      <c r="M944" s="3" t="s">
        <v>71</v>
      </c>
      <c r="N944" s="3" t="s">
        <v>72</v>
      </c>
    </row>
    <row r="945" spans="1:14" x14ac:dyDescent="0.3">
      <c r="A945" s="36" t="s">
        <v>37</v>
      </c>
      <c r="B945" s="13">
        <v>114</v>
      </c>
      <c r="C945" s="48" t="str">
        <f t="shared" si="34"/>
        <v>P.L. 114-95</v>
      </c>
      <c r="D945" s="3" t="s">
        <v>1767</v>
      </c>
      <c r="E945" s="3" t="s">
        <v>1812</v>
      </c>
      <c r="F945" s="3" t="s">
        <v>1813</v>
      </c>
      <c r="G945" s="48" t="str">
        <f>HYPERLINK("https://uscode.house.gov/view.xhtml?req=granuleid:USC-prelim-title42-section11435&amp;num=0&amp;edition=prelim", "42 U.S.C. 11435")</f>
        <v>42 U.S.C. 11435</v>
      </c>
      <c r="H945" s="46">
        <v>44104</v>
      </c>
      <c r="I945" s="13">
        <v>2020</v>
      </c>
      <c r="J945" s="47">
        <v>85000000</v>
      </c>
      <c r="K945" s="47">
        <v>129000000</v>
      </c>
      <c r="L945" s="3" t="s">
        <v>130</v>
      </c>
      <c r="M945" s="3" t="s">
        <v>71</v>
      </c>
      <c r="N945" s="3" t="s">
        <v>72</v>
      </c>
    </row>
    <row r="946" spans="1:14" x14ac:dyDescent="0.3">
      <c r="A946" s="36" t="s">
        <v>37</v>
      </c>
      <c r="B946" s="13">
        <v>114</v>
      </c>
      <c r="C946" s="48" t="str">
        <f t="shared" si="34"/>
        <v>P.L. 114-95</v>
      </c>
      <c r="D946" s="3" t="s">
        <v>1767</v>
      </c>
      <c r="E946" s="3" t="s">
        <v>1814</v>
      </c>
      <c r="F946" s="3" t="s">
        <v>1815</v>
      </c>
      <c r="G946" s="48" t="str">
        <f>HYPERLINK("https://uscode.house.gov/view.xhtml?req=granuleid:USC-prelim-title42-section9831&amp;num=0&amp;edition=prelim", "42 U.S.C. 9831(note)")</f>
        <v>42 U.S.C. 9831(note)</v>
      </c>
      <c r="H946" s="46">
        <v>44104</v>
      </c>
      <c r="I946" s="13">
        <v>2020</v>
      </c>
      <c r="J946" s="47">
        <v>250000000</v>
      </c>
      <c r="K946" s="47">
        <v>420000000</v>
      </c>
      <c r="L946" s="3" t="s">
        <v>130</v>
      </c>
      <c r="M946" s="3" t="s">
        <v>71</v>
      </c>
      <c r="N946" s="3" t="s">
        <v>72</v>
      </c>
    </row>
    <row r="947" spans="1:14" x14ac:dyDescent="0.3">
      <c r="A947" s="36" t="s">
        <v>37</v>
      </c>
      <c r="B947" s="13">
        <v>114</v>
      </c>
      <c r="C947" s="48" t="str">
        <f>HYPERLINK("https://uscode.house.gov/statutes/pl/114/110.pdf", "P.L. 114-110")</f>
        <v>P.L. 114-110</v>
      </c>
      <c r="D947" s="3" t="s">
        <v>1816</v>
      </c>
      <c r="F947" s="3" t="s">
        <v>1817</v>
      </c>
      <c r="G947" s="49"/>
      <c r="H947" s="46">
        <v>44104</v>
      </c>
      <c r="I947" s="13">
        <v>2020</v>
      </c>
      <c r="J947" s="47">
        <v>36000000</v>
      </c>
      <c r="K947" s="47">
        <v>41429000</v>
      </c>
      <c r="L947" s="3" t="s">
        <v>109</v>
      </c>
      <c r="M947" s="3" t="s">
        <v>148</v>
      </c>
      <c r="N947" s="3" t="s">
        <v>158</v>
      </c>
    </row>
    <row r="948" spans="1:14" x14ac:dyDescent="0.3">
      <c r="A948" s="36" t="s">
        <v>37</v>
      </c>
      <c r="B948" s="13">
        <v>114</v>
      </c>
      <c r="C948" s="48" t="str">
        <f>HYPERLINK("https://uscode.house.gov/statutes/pl/114/113.pdf", "P.L. 114-113")</f>
        <v>P.L. 114-113</v>
      </c>
      <c r="D948" s="3" t="s">
        <v>1818</v>
      </c>
      <c r="E948" s="3" t="s">
        <v>1819</v>
      </c>
      <c r="F948" s="3" t="s">
        <v>1820</v>
      </c>
      <c r="G948" s="48" t="str">
        <f>HYPERLINK("https://uscode.house.gov/view.xhtml?req=granuleid:USC-prelim-title16-section7507&amp;num=0&amp;edition=prelim", "16 U.S.C. 7507")</f>
        <v>16 U.S.C. 7507</v>
      </c>
      <c r="H948" s="46">
        <v>43738</v>
      </c>
      <c r="I948" s="13">
        <v>2019</v>
      </c>
      <c r="J948" s="16" t="s">
        <v>12</v>
      </c>
      <c r="K948" s="47">
        <v>132400000</v>
      </c>
      <c r="L948" s="3" t="s">
        <v>47</v>
      </c>
      <c r="M948" s="3" t="s">
        <v>48</v>
      </c>
      <c r="N948" s="3" t="s">
        <v>43</v>
      </c>
    </row>
    <row r="949" spans="1:14" x14ac:dyDescent="0.3">
      <c r="A949" s="36" t="s">
        <v>37</v>
      </c>
      <c r="B949" s="13">
        <v>114</v>
      </c>
      <c r="C949" s="48" t="str">
        <f>HYPERLINK("https://uscode.house.gov/statutes/pl/114/124.pdf", "P.L. 114-124")</f>
        <v>P.L. 114-124</v>
      </c>
      <c r="D949" s="3" t="s">
        <v>1821</v>
      </c>
      <c r="E949" s="3" t="s">
        <v>517</v>
      </c>
      <c r="F949" s="3" t="s">
        <v>1822</v>
      </c>
      <c r="G949" s="49"/>
      <c r="H949" s="46">
        <v>44104</v>
      </c>
      <c r="I949" s="13">
        <v>2020</v>
      </c>
      <c r="J949" s="47">
        <v>5000000</v>
      </c>
      <c r="K949" s="16" t="s">
        <v>62</v>
      </c>
      <c r="L949" s="3" t="s">
        <v>135</v>
      </c>
      <c r="M949" s="3" t="s">
        <v>148</v>
      </c>
      <c r="N949" s="3" t="s">
        <v>43</v>
      </c>
    </row>
    <row r="950" spans="1:14" x14ac:dyDescent="0.3">
      <c r="A950" s="36" t="s">
        <v>37</v>
      </c>
      <c r="B950" s="13">
        <v>114</v>
      </c>
      <c r="C950" s="48" t="str">
        <f>HYPERLINK("https://uscode.house.gov/statutes/pl/114/125.pdf", "P.L. 114-125")</f>
        <v>P.L. 114-125</v>
      </c>
      <c r="D950" s="3" t="s">
        <v>1823</v>
      </c>
      <c r="E950" s="3" t="s">
        <v>1824</v>
      </c>
      <c r="F950" s="3" t="s">
        <v>1825</v>
      </c>
      <c r="G950" s="48" t="str">
        <f>HYPERLINK("https://uscode.house.gov/view.xhtml?req=granuleid:USC-prelim-title15-section649&amp;num=0&amp;edition=prelim", "15 U.S.C. 649(l)(9)")</f>
        <v>15 U.S.C. 649(l)(9)</v>
      </c>
      <c r="H950" s="46">
        <v>44104</v>
      </c>
      <c r="I950" s="13">
        <v>2020</v>
      </c>
      <c r="J950" s="47">
        <v>30000000</v>
      </c>
      <c r="K950" s="47">
        <v>20000000</v>
      </c>
      <c r="L950" s="3" t="s">
        <v>1095</v>
      </c>
      <c r="M950" s="3" t="s">
        <v>1096</v>
      </c>
      <c r="N950" s="3" t="s">
        <v>55</v>
      </c>
    </row>
    <row r="951" spans="1:14" x14ac:dyDescent="0.3">
      <c r="A951" s="36" t="s">
        <v>37</v>
      </c>
      <c r="B951" s="13">
        <v>114</v>
      </c>
      <c r="C951" s="48" t="str">
        <f>HYPERLINK("https://uscode.house.gov/statutes/pl/114/125.pdf", "P.L. 114-125")</f>
        <v>P.L. 114-125</v>
      </c>
      <c r="D951" s="3" t="s">
        <v>1823</v>
      </c>
      <c r="E951" s="3" t="s">
        <v>1826</v>
      </c>
      <c r="F951" s="3" t="s">
        <v>1827</v>
      </c>
      <c r="G951" s="48" t="str">
        <f>HYPERLINK("https://uscode.house.gov/view.xhtml?req=granuleid:USC-prelim-title19-section58c&amp;num=0&amp;edition=prelim", "19 U.S.C. 58c(f)(4)")</f>
        <v>19 U.S.C. 58c(f)(4)</v>
      </c>
      <c r="H951" s="46">
        <v>43373</v>
      </c>
      <c r="I951" s="13">
        <v>2018</v>
      </c>
      <c r="J951" s="16" t="s">
        <v>12</v>
      </c>
      <c r="K951" s="16" t="s">
        <v>62</v>
      </c>
      <c r="L951" s="3" t="s">
        <v>292</v>
      </c>
      <c r="M951" s="3" t="s">
        <v>418</v>
      </c>
      <c r="N951" s="3" t="s">
        <v>122</v>
      </c>
    </row>
    <row r="952" spans="1:14" x14ac:dyDescent="0.3">
      <c r="A952" s="36" t="s">
        <v>37</v>
      </c>
      <c r="B952" s="13">
        <v>114</v>
      </c>
      <c r="C952" s="48" t="str">
        <f>HYPERLINK("https://uscode.house.gov/statutes/pl/114/143.pdf", "P.L. 114-143")</f>
        <v>P.L. 114-143</v>
      </c>
      <c r="D952" s="3" t="s">
        <v>1828</v>
      </c>
      <c r="E952" s="3" t="s">
        <v>1829</v>
      </c>
      <c r="F952" s="3" t="s">
        <v>1830</v>
      </c>
      <c r="G952" s="49"/>
      <c r="H952" s="46">
        <v>43373</v>
      </c>
      <c r="I952" s="13">
        <v>2018</v>
      </c>
      <c r="J952" s="16" t="s">
        <v>12</v>
      </c>
      <c r="K952" s="47">
        <v>17593000</v>
      </c>
      <c r="L952" s="3" t="s">
        <v>109</v>
      </c>
      <c r="M952" s="3" t="s">
        <v>230</v>
      </c>
      <c r="N952" s="3" t="s">
        <v>122</v>
      </c>
    </row>
    <row r="953" spans="1:14" x14ac:dyDescent="0.3">
      <c r="A953" s="36" t="s">
        <v>37</v>
      </c>
      <c r="B953" s="13">
        <v>114</v>
      </c>
      <c r="C953" s="48" t="str">
        <f>HYPERLINK("https://uscode.house.gov/statutes/pl/114/156.pdf", "P.L. 114-156")</f>
        <v>P.L. 114-156</v>
      </c>
      <c r="D953" s="3" t="s">
        <v>1831</v>
      </c>
      <c r="E953" s="3" t="s">
        <v>560</v>
      </c>
      <c r="F953" s="3" t="s">
        <v>1832</v>
      </c>
      <c r="G953" s="48" t="str">
        <f>HYPERLINK("https://uscode.house.gov/view.xhtml?req=granuleid:USC-prelim-title2-section1881c&amp;num=0&amp;edition=prelim", "2 U.S.C. 1881c")</f>
        <v>2 U.S.C. 1881c</v>
      </c>
      <c r="H953" s="46">
        <v>44834</v>
      </c>
      <c r="I953" s="13">
        <v>2022</v>
      </c>
      <c r="J953" s="16" t="s">
        <v>12</v>
      </c>
      <c r="K953" s="16" t="s">
        <v>62</v>
      </c>
      <c r="L953" s="3" t="s">
        <v>53</v>
      </c>
      <c r="M953" s="3" t="s">
        <v>54</v>
      </c>
      <c r="N953" s="3" t="s">
        <v>231</v>
      </c>
    </row>
    <row r="954" spans="1:14" x14ac:dyDescent="0.3">
      <c r="A954" s="36" t="s">
        <v>37</v>
      </c>
      <c r="B954" s="13">
        <v>114</v>
      </c>
      <c r="C954" s="48" t="str">
        <f>HYPERLINK("https://uscode.house.gov/statutes/pl/114/198.pdf", "P.L. 114-198")</f>
        <v>P.L. 114-198</v>
      </c>
      <c r="D954" s="3" t="s">
        <v>1833</v>
      </c>
      <c r="E954" s="3" t="s">
        <v>358</v>
      </c>
      <c r="F954" s="3" t="s">
        <v>1834</v>
      </c>
      <c r="G954" s="48" t="str">
        <f>HYPERLINK("https://uscode.house.gov/view.xhtml?req=granuleid:USC-prelim-title42-section290ee-3&amp;num=0&amp;edition=prelim", "42 U.S.C. 290ee-3(c)")</f>
        <v>42 U.S.C. 290ee-3(c)</v>
      </c>
      <c r="H954" s="46">
        <v>44469</v>
      </c>
      <c r="I954" s="13">
        <v>2021</v>
      </c>
      <c r="J954" s="47">
        <v>5000000</v>
      </c>
      <c r="K954" s="16" t="s">
        <v>62</v>
      </c>
      <c r="L954" s="3" t="s">
        <v>60</v>
      </c>
      <c r="M954" s="3" t="s">
        <v>71</v>
      </c>
      <c r="N954" s="3" t="s">
        <v>72</v>
      </c>
    </row>
    <row r="955" spans="1:14" x14ac:dyDescent="0.3">
      <c r="A955" s="36" t="s">
        <v>37</v>
      </c>
      <c r="B955" s="13">
        <v>114</v>
      </c>
      <c r="C955" s="48" t="str">
        <f>HYPERLINK("https://uscode.house.gov/statutes/pl/114/217.pdf", "P.L. 114-217")</f>
        <v>P.L. 114-217</v>
      </c>
      <c r="D955" s="3" t="s">
        <v>1835</v>
      </c>
      <c r="E955" s="3" t="s">
        <v>69</v>
      </c>
      <c r="F955" s="3" t="s">
        <v>1836</v>
      </c>
      <c r="G955" s="48" t="str">
        <f>HYPERLINK("https://uscode.house.gov/view.xhtml?req=granuleid:USC-prelim-title2-section1743&amp;num=0&amp;edition=prelim", "2 U.S.C. 1743")</f>
        <v>2 U.S.C. 1743</v>
      </c>
      <c r="H955" s="46">
        <v>46295</v>
      </c>
      <c r="I955" s="13">
        <v>2026</v>
      </c>
      <c r="J955" s="47">
        <v>250000</v>
      </c>
      <c r="K955" s="16" t="s">
        <v>62</v>
      </c>
      <c r="L955" s="3" t="s">
        <v>53</v>
      </c>
      <c r="M955" s="3" t="s">
        <v>54</v>
      </c>
      <c r="N955" s="3" t="s">
        <v>231</v>
      </c>
    </row>
    <row r="956" spans="1:14" x14ac:dyDescent="0.3">
      <c r="A956" s="36" t="s">
        <v>37</v>
      </c>
      <c r="B956" s="13">
        <v>114</v>
      </c>
      <c r="C956" s="48" t="str">
        <f>HYPERLINK("https://uscode.house.gov/statutes/pl/114/217.pdf", "P.L. 114-217")</f>
        <v>P.L. 114-217</v>
      </c>
      <c r="D956" s="3" t="s">
        <v>1835</v>
      </c>
      <c r="E956" s="3" t="s">
        <v>1373</v>
      </c>
      <c r="F956" s="3" t="s">
        <v>1837</v>
      </c>
      <c r="G956" s="48" t="str">
        <f>HYPERLINK("https://uscode.house.gov/view.xhtml?req=granuleid:USC-prelim-title36-section152411&amp;num=0&amp;edition=prelim", "36 U.S.C. 152411(a)")</f>
        <v>36 U.S.C. 152411(a)</v>
      </c>
      <c r="H956" s="46">
        <v>46295</v>
      </c>
      <c r="I956" s="13">
        <v>2026</v>
      </c>
      <c r="J956" s="16" t="s">
        <v>12</v>
      </c>
      <c r="K956" s="16" t="s">
        <v>62</v>
      </c>
      <c r="L956" s="3" t="s">
        <v>53</v>
      </c>
      <c r="M956" s="3" t="s">
        <v>54</v>
      </c>
      <c r="N956" s="3" t="s">
        <v>231</v>
      </c>
    </row>
    <row r="957" spans="1:14" x14ac:dyDescent="0.3">
      <c r="A957" s="36" t="s">
        <v>37</v>
      </c>
      <c r="B957" s="13">
        <v>114</v>
      </c>
      <c r="C957" s="48" t="str">
        <f>HYPERLINK("https://uscode.house.gov/statutes/pl/114/217.pdf", "P.L. 114-217")</f>
        <v>P.L. 114-217</v>
      </c>
      <c r="D957" s="3" t="s">
        <v>1835</v>
      </c>
      <c r="E957" s="3" t="s">
        <v>1838</v>
      </c>
      <c r="F957" s="3" t="s">
        <v>1839</v>
      </c>
      <c r="G957" s="48" t="str">
        <f>HYPERLINK("https://uscode.house.gov/view.xhtml?req=granuleid:USC-prelim-title2-section179v&amp;num=0&amp;edition=prelim", "2 U.S.C. 179v")</f>
        <v>2 U.S.C. 179v</v>
      </c>
      <c r="H957" s="46">
        <v>46295</v>
      </c>
      <c r="I957" s="13">
        <v>2026</v>
      </c>
      <c r="J957" s="47">
        <v>250000</v>
      </c>
      <c r="K957" s="16" t="s">
        <v>62</v>
      </c>
      <c r="L957" s="3" t="s">
        <v>53</v>
      </c>
      <c r="M957" s="3" t="s">
        <v>54</v>
      </c>
      <c r="N957" s="3" t="s">
        <v>231</v>
      </c>
    </row>
    <row r="958" spans="1:14" x14ac:dyDescent="0.3">
      <c r="A958" s="36" t="s">
        <v>37</v>
      </c>
      <c r="B958" s="13">
        <v>114</v>
      </c>
      <c r="C958" s="48" t="str">
        <f>HYPERLINK("https://uscode.house.gov/statutes/pl/114/217.pdf", "P.L. 114-217")</f>
        <v>P.L. 114-217</v>
      </c>
      <c r="D958" s="3" t="s">
        <v>1835</v>
      </c>
      <c r="E958" s="3" t="s">
        <v>1840</v>
      </c>
      <c r="F958" s="3" t="s">
        <v>1841</v>
      </c>
      <c r="G958" s="48" t="str">
        <f>HYPERLINK("https://uscode.house.gov/view.xhtml?req=granuleid:USC-prelim-title36-section151711&amp;num=0&amp;edition=prelim", "36 U.S.C. 151711(a)(1)")</f>
        <v>36 U.S.C. 151711(a)(1)</v>
      </c>
      <c r="H958" s="46">
        <v>46295</v>
      </c>
      <c r="I958" s="13">
        <v>2026</v>
      </c>
      <c r="J958" s="47">
        <v>1000000</v>
      </c>
      <c r="K958" s="16" t="s">
        <v>62</v>
      </c>
      <c r="L958" s="3" t="s">
        <v>53</v>
      </c>
      <c r="M958" s="3" t="s">
        <v>54</v>
      </c>
      <c r="N958" s="3" t="s">
        <v>231</v>
      </c>
    </row>
    <row r="959" spans="1:14" x14ac:dyDescent="0.3">
      <c r="A959" s="36" t="s">
        <v>37</v>
      </c>
      <c r="B959" s="13">
        <v>114</v>
      </c>
      <c r="C959" s="48" t="str">
        <f t="shared" ref="C959:C973" si="35">HYPERLINK("https://uscode.house.gov/statutes/pl/114/255.pdf", "P.L. 114-255")</f>
        <v>P.L. 114-255</v>
      </c>
      <c r="D959" s="3" t="s">
        <v>1842</v>
      </c>
      <c r="E959" s="3" t="s">
        <v>1843</v>
      </c>
      <c r="F959" s="3" t="s">
        <v>1844</v>
      </c>
      <c r="G959" s="49"/>
      <c r="H959" s="46">
        <v>46295</v>
      </c>
      <c r="I959" s="13">
        <v>2026</v>
      </c>
      <c r="J959" s="47">
        <v>31000000</v>
      </c>
      <c r="K959" s="16" t="s">
        <v>62</v>
      </c>
      <c r="L959" s="3" t="s">
        <v>60</v>
      </c>
      <c r="M959" s="3" t="s">
        <v>71</v>
      </c>
      <c r="N959" s="3" t="s">
        <v>72</v>
      </c>
    </row>
    <row r="960" spans="1:14" x14ac:dyDescent="0.3">
      <c r="A960" s="36" t="s">
        <v>37</v>
      </c>
      <c r="B960" s="13">
        <v>114</v>
      </c>
      <c r="C960" s="48" t="str">
        <f t="shared" si="35"/>
        <v>P.L. 114-255</v>
      </c>
      <c r="D960" s="3" t="s">
        <v>1842</v>
      </c>
      <c r="E960" s="3" t="s">
        <v>1843</v>
      </c>
      <c r="F960" s="3" t="s">
        <v>1845</v>
      </c>
      <c r="G960" s="49"/>
      <c r="H960" s="46">
        <v>46295</v>
      </c>
      <c r="I960" s="13">
        <v>2026</v>
      </c>
      <c r="J960" s="47">
        <v>195000000</v>
      </c>
      <c r="K960" s="16" t="s">
        <v>62</v>
      </c>
      <c r="L960" s="3" t="s">
        <v>60</v>
      </c>
      <c r="M960" s="3" t="s">
        <v>71</v>
      </c>
      <c r="N960" s="3" t="s">
        <v>72</v>
      </c>
    </row>
    <row r="961" spans="1:14" x14ac:dyDescent="0.3">
      <c r="A961" s="36" t="s">
        <v>37</v>
      </c>
      <c r="B961" s="13">
        <v>114</v>
      </c>
      <c r="C961" s="48" t="str">
        <f t="shared" si="35"/>
        <v>P.L. 114-255</v>
      </c>
      <c r="D961" s="3" t="s">
        <v>1842</v>
      </c>
      <c r="E961" s="3" t="s">
        <v>1843</v>
      </c>
      <c r="F961" s="3" t="s">
        <v>1846</v>
      </c>
      <c r="G961" s="49"/>
      <c r="H961" s="46">
        <v>45199</v>
      </c>
      <c r="I961" s="13">
        <v>2023</v>
      </c>
      <c r="J961" s="47">
        <v>216000000</v>
      </c>
      <c r="K961" s="16" t="s">
        <v>62</v>
      </c>
      <c r="L961" s="3" t="s">
        <v>60</v>
      </c>
      <c r="M961" s="3" t="s">
        <v>71</v>
      </c>
      <c r="N961" s="3" t="s">
        <v>72</v>
      </c>
    </row>
    <row r="962" spans="1:14" x14ac:dyDescent="0.3">
      <c r="A962" s="36" t="s">
        <v>37</v>
      </c>
      <c r="B962" s="13">
        <v>114</v>
      </c>
      <c r="C962" s="48" t="str">
        <f t="shared" si="35"/>
        <v>P.L. 114-255</v>
      </c>
      <c r="D962" s="3" t="s">
        <v>1842</v>
      </c>
      <c r="E962" s="3" t="s">
        <v>1843</v>
      </c>
      <c r="F962" s="3" t="s">
        <v>1847</v>
      </c>
      <c r="G962" s="49"/>
      <c r="H962" s="46">
        <v>44104</v>
      </c>
      <c r="I962" s="13">
        <v>2020</v>
      </c>
      <c r="J962" s="47">
        <v>8000000</v>
      </c>
      <c r="K962" s="16" t="s">
        <v>62</v>
      </c>
      <c r="L962" s="3" t="s">
        <v>60</v>
      </c>
      <c r="M962" s="3" t="s">
        <v>71</v>
      </c>
      <c r="N962" s="3" t="s">
        <v>72</v>
      </c>
    </row>
    <row r="963" spans="1:14" x14ac:dyDescent="0.3">
      <c r="A963" s="36" t="s">
        <v>37</v>
      </c>
      <c r="B963" s="13">
        <v>114</v>
      </c>
      <c r="C963" s="48" t="str">
        <f t="shared" si="35"/>
        <v>P.L. 114-255</v>
      </c>
      <c r="D963" s="3" t="s">
        <v>1842</v>
      </c>
      <c r="E963" s="3" t="s">
        <v>1848</v>
      </c>
      <c r="F963" s="3" t="s">
        <v>1849</v>
      </c>
      <c r="G963" s="49"/>
      <c r="H963" s="46">
        <v>45930</v>
      </c>
      <c r="I963" s="13">
        <v>2025</v>
      </c>
      <c r="J963" s="47">
        <v>55000000</v>
      </c>
      <c r="K963" s="16" t="s">
        <v>62</v>
      </c>
      <c r="L963" s="3" t="s">
        <v>60</v>
      </c>
      <c r="M963" s="3" t="s">
        <v>71</v>
      </c>
      <c r="N963" s="3" t="s">
        <v>406</v>
      </c>
    </row>
    <row r="964" spans="1:14" x14ac:dyDescent="0.3">
      <c r="A964" s="36" t="s">
        <v>37</v>
      </c>
      <c r="B964" s="13">
        <v>114</v>
      </c>
      <c r="C964" s="48" t="str">
        <f t="shared" si="35"/>
        <v>P.L. 114-255</v>
      </c>
      <c r="D964" s="3" t="s">
        <v>1842</v>
      </c>
      <c r="E964" s="3" t="s">
        <v>1850</v>
      </c>
      <c r="F964" s="3" t="s">
        <v>1851</v>
      </c>
      <c r="G964" s="48" t="str">
        <f>HYPERLINK("https://uscode.house.gov/view.xhtml?req=granuleid:USC-prelim-title42-section282a&amp;num=0&amp;edition=prelim", "42 U.S.C. 282a(F)")</f>
        <v>42 U.S.C. 282a(F)</v>
      </c>
      <c r="H964" s="46">
        <v>44104</v>
      </c>
      <c r="I964" s="13">
        <v>2020</v>
      </c>
      <c r="J964" s="47">
        <v>36472443000</v>
      </c>
      <c r="K964" s="47">
        <v>47486500000</v>
      </c>
      <c r="L964" s="3" t="s">
        <v>60</v>
      </c>
      <c r="M964" s="3" t="s">
        <v>71</v>
      </c>
      <c r="N964" s="3" t="s">
        <v>72</v>
      </c>
    </row>
    <row r="965" spans="1:14" x14ac:dyDescent="0.3">
      <c r="A965" s="36" t="s">
        <v>37</v>
      </c>
      <c r="B965" s="13">
        <v>114</v>
      </c>
      <c r="C965" s="48" t="str">
        <f t="shared" si="35"/>
        <v>P.L. 114-255</v>
      </c>
      <c r="D965" s="3" t="s">
        <v>1842</v>
      </c>
      <c r="E965" s="3" t="s">
        <v>1852</v>
      </c>
      <c r="F965" s="3" t="s">
        <v>1853</v>
      </c>
      <c r="G965" s="48" t="str">
        <f>HYPERLINK("https://uscode.house.gov/view.xhtml?req=granuleid:USC-prelim-title42-section280g-7a&amp;num=0&amp;edition=prelim", "42 U.S.C. 280g-7a(k)")</f>
        <v>42 U.S.C. 280g-7a(k)</v>
      </c>
      <c r="H965" s="46">
        <v>44834</v>
      </c>
      <c r="I965" s="13">
        <v>2022</v>
      </c>
      <c r="J965" s="47">
        <v>5000000</v>
      </c>
      <c r="K965" s="47">
        <v>5000000</v>
      </c>
      <c r="L965" s="3" t="s">
        <v>60</v>
      </c>
      <c r="M965" s="3" t="s">
        <v>71</v>
      </c>
      <c r="N965" s="3" t="s">
        <v>72</v>
      </c>
    </row>
    <row r="966" spans="1:14" x14ac:dyDescent="0.3">
      <c r="A966" s="36" t="s">
        <v>37</v>
      </c>
      <c r="B966" s="13">
        <v>114</v>
      </c>
      <c r="C966" s="48" t="str">
        <f t="shared" si="35"/>
        <v>P.L. 114-255</v>
      </c>
      <c r="D966" s="3" t="s">
        <v>1842</v>
      </c>
      <c r="E966" s="3" t="s">
        <v>1854</v>
      </c>
      <c r="F966" s="3" t="s">
        <v>1855</v>
      </c>
      <c r="G966" s="48" t="str">
        <f>HYPERLINK("https://uscode.house.gov/view.xhtml?req=granuleid:USC-prelim-title42-section290aa-0&amp;num=0&amp;edition=prelim", "42 U.S.C. 290aa-0(e)(3)")</f>
        <v>42 U.S.C. 290aa-0(e)(3)</v>
      </c>
      <c r="H966" s="46">
        <v>44104</v>
      </c>
      <c r="I966" s="13">
        <v>2020</v>
      </c>
      <c r="J966" s="16" t="s">
        <v>12</v>
      </c>
      <c r="K966" s="16" t="s">
        <v>62</v>
      </c>
      <c r="L966" s="3" t="s">
        <v>60</v>
      </c>
      <c r="M966" s="3" t="s">
        <v>71</v>
      </c>
      <c r="N966" s="3" t="s">
        <v>72</v>
      </c>
    </row>
    <row r="967" spans="1:14" x14ac:dyDescent="0.3">
      <c r="A967" s="36" t="s">
        <v>37</v>
      </c>
      <c r="B967" s="13">
        <v>114</v>
      </c>
      <c r="C967" s="48" t="str">
        <f t="shared" si="35"/>
        <v>P.L. 114-255</v>
      </c>
      <c r="D967" s="3" t="s">
        <v>1842</v>
      </c>
      <c r="E967" s="3" t="s">
        <v>1856</v>
      </c>
      <c r="F967" s="3" t="s">
        <v>1857</v>
      </c>
      <c r="G967" s="48" t="str">
        <f>HYPERLINK("https://uscode.house.gov/view.xhtml?req=granuleid:USC-prelim-title42-section290bb-32&amp;num=0&amp;edition=prelim", "42 U.S.C. 290bb-32(f)")</f>
        <v>42 U.S.C. 290bb-32(f)</v>
      </c>
      <c r="H967" s="46">
        <v>44834</v>
      </c>
      <c r="I967" s="13">
        <v>2022</v>
      </c>
      <c r="J967" s="47">
        <v>394550000</v>
      </c>
      <c r="K967" s="47">
        <v>1065453000</v>
      </c>
      <c r="L967" s="3" t="s">
        <v>60</v>
      </c>
      <c r="M967" s="3" t="s">
        <v>71</v>
      </c>
      <c r="N967" s="3" t="s">
        <v>72</v>
      </c>
    </row>
    <row r="968" spans="1:14" x14ac:dyDescent="0.3">
      <c r="A968" s="36" t="s">
        <v>37</v>
      </c>
      <c r="B968" s="13">
        <v>114</v>
      </c>
      <c r="C968" s="48" t="str">
        <f t="shared" si="35"/>
        <v>P.L. 114-255</v>
      </c>
      <c r="D968" s="3" t="s">
        <v>1842</v>
      </c>
      <c r="E968" s="3" t="s">
        <v>1858</v>
      </c>
      <c r="F968" s="3" t="s">
        <v>1859</v>
      </c>
      <c r="G968" s="48" t="str">
        <f>HYPERLINK("https://uscode.house.gov/view.xhtml?req=granuleid:USC-prelim-title42-section290bb-34&amp;num=0&amp;edition=prelim", "42 U.S.C. 290bb-34(c)")</f>
        <v>42 U.S.C. 290bb-34(c)</v>
      </c>
      <c r="H968" s="46">
        <v>44834</v>
      </c>
      <c r="I968" s="13">
        <v>2022</v>
      </c>
      <c r="J968" s="47">
        <v>5988000</v>
      </c>
      <c r="K968" s="47">
        <v>11000000</v>
      </c>
      <c r="L968" s="3" t="s">
        <v>60</v>
      </c>
      <c r="M968" s="3" t="s">
        <v>71</v>
      </c>
      <c r="N968" s="3" t="s">
        <v>72</v>
      </c>
    </row>
    <row r="969" spans="1:14" x14ac:dyDescent="0.3">
      <c r="A969" s="36" t="s">
        <v>37</v>
      </c>
      <c r="B969" s="13">
        <v>114</v>
      </c>
      <c r="C969" s="48" t="str">
        <f t="shared" si="35"/>
        <v>P.L. 114-255</v>
      </c>
      <c r="D969" s="3" t="s">
        <v>1842</v>
      </c>
      <c r="E969" s="3" t="s">
        <v>1860</v>
      </c>
      <c r="F969" s="3" t="s">
        <v>1861</v>
      </c>
      <c r="G969" s="48" t="str">
        <f>HYPERLINK("https://uscode.house.gov/view.xhtml?req=granuleid:USC-prelim-title42-section290bb-25b&amp;num=0&amp;edition=prelim", "42 U.S.C. 290bb-25b")</f>
        <v>42 U.S.C. 290bb-25b</v>
      </c>
      <c r="H969" s="46">
        <v>44834</v>
      </c>
      <c r="I969" s="13">
        <v>2022</v>
      </c>
      <c r="J969" s="47">
        <v>1000000</v>
      </c>
      <c r="K969" s="47">
        <v>1000000</v>
      </c>
      <c r="L969" s="3" t="s">
        <v>60</v>
      </c>
      <c r="M969" s="3" t="s">
        <v>71</v>
      </c>
      <c r="N969" s="3" t="s">
        <v>72</v>
      </c>
    </row>
    <row r="970" spans="1:14" x14ac:dyDescent="0.3">
      <c r="A970" s="36" t="s">
        <v>37</v>
      </c>
      <c r="B970" s="13">
        <v>114</v>
      </c>
      <c r="C970" s="48" t="str">
        <f t="shared" si="35"/>
        <v>P.L. 114-255</v>
      </c>
      <c r="D970" s="3" t="s">
        <v>1842</v>
      </c>
      <c r="E970" s="3" t="s">
        <v>1860</v>
      </c>
      <c r="F970" s="3" t="s">
        <v>1862</v>
      </c>
      <c r="G970" s="48" t="str">
        <f>HYPERLINK("https://uscode.house.gov/view.xhtml?req=granuleid:USC-prelim-title42-section290bb-25b&amp;num=0&amp;edition=prelim", "42 U.S.C. 290bb-25b")</f>
        <v>42 U.S.C. 290bb-25b</v>
      </c>
      <c r="H970" s="46">
        <v>44834</v>
      </c>
      <c r="I970" s="13">
        <v>2022</v>
      </c>
      <c r="J970" s="47">
        <v>5000000</v>
      </c>
      <c r="K970" s="47">
        <v>11000000</v>
      </c>
      <c r="L970" s="3" t="s">
        <v>60</v>
      </c>
      <c r="M970" s="3" t="s">
        <v>71</v>
      </c>
      <c r="N970" s="3" t="s">
        <v>72</v>
      </c>
    </row>
    <row r="971" spans="1:14" x14ac:dyDescent="0.3">
      <c r="A971" s="36" t="s">
        <v>37</v>
      </c>
      <c r="B971" s="13">
        <v>114</v>
      </c>
      <c r="C971" s="48" t="str">
        <f t="shared" si="35"/>
        <v>P.L. 114-255</v>
      </c>
      <c r="D971" s="3" t="s">
        <v>1842</v>
      </c>
      <c r="E971" s="3" t="s">
        <v>1860</v>
      </c>
      <c r="F971" s="3" t="s">
        <v>1863</v>
      </c>
      <c r="G971" s="48" t="str">
        <f>HYPERLINK("https://uscode.house.gov/view.xhtml?req=granuleid:USC-prelim-title42-section290bb-25b&amp;num=0&amp;edition=prelim", "42 U.S.C. 290bb-25b")</f>
        <v>42 U.S.C. 290bb-25b</v>
      </c>
      <c r="H971" s="46">
        <v>44834</v>
      </c>
      <c r="I971" s="13">
        <v>2022</v>
      </c>
      <c r="J971" s="47">
        <v>3000000</v>
      </c>
      <c r="K971" s="16" t="s">
        <v>62</v>
      </c>
      <c r="L971" s="3" t="s">
        <v>60</v>
      </c>
      <c r="M971" s="3" t="s">
        <v>71</v>
      </c>
      <c r="N971" s="3" t="s">
        <v>72</v>
      </c>
    </row>
    <row r="972" spans="1:14" x14ac:dyDescent="0.3">
      <c r="A972" s="36" t="s">
        <v>37</v>
      </c>
      <c r="B972" s="13">
        <v>114</v>
      </c>
      <c r="C972" s="48" t="str">
        <f t="shared" si="35"/>
        <v>P.L. 114-255</v>
      </c>
      <c r="D972" s="3" t="s">
        <v>1842</v>
      </c>
      <c r="E972" s="3" t="s">
        <v>1864</v>
      </c>
      <c r="F972" s="3" t="s">
        <v>1865</v>
      </c>
      <c r="G972" s="49"/>
      <c r="H972" s="46">
        <v>44834</v>
      </c>
      <c r="I972" s="13">
        <v>2022</v>
      </c>
      <c r="J972" s="16" t="s">
        <v>12</v>
      </c>
      <c r="K972" s="16" t="s">
        <v>62</v>
      </c>
      <c r="L972" s="3" t="s">
        <v>60</v>
      </c>
      <c r="M972" s="3" t="s">
        <v>71</v>
      </c>
      <c r="N972" s="3" t="s">
        <v>72</v>
      </c>
    </row>
    <row r="973" spans="1:14" x14ac:dyDescent="0.3">
      <c r="A973" s="36" t="s">
        <v>37</v>
      </c>
      <c r="B973" s="13">
        <v>114</v>
      </c>
      <c r="C973" s="48" t="str">
        <f t="shared" si="35"/>
        <v>P.L. 114-255</v>
      </c>
      <c r="D973" s="3" t="s">
        <v>1842</v>
      </c>
      <c r="E973" s="3" t="s">
        <v>1866</v>
      </c>
      <c r="F973" s="3" t="s">
        <v>1867</v>
      </c>
      <c r="G973" s="48" t="str">
        <f>HYPERLINK("https://uscode.house.gov/view.xhtml?req=granuleid:USC-prelim-title42-section1320d-2&amp;num=0&amp;edition=prelim", "42 U.S.C. 1320d-2(note)")</f>
        <v>42 U.S.C. 1320d-2(note)</v>
      </c>
      <c r="H973" s="46">
        <v>44834</v>
      </c>
      <c r="I973" s="13">
        <v>2022</v>
      </c>
      <c r="J973" s="47">
        <v>1000000</v>
      </c>
      <c r="K973" s="16" t="s">
        <v>62</v>
      </c>
      <c r="L973" s="3" t="s">
        <v>60</v>
      </c>
      <c r="M973" s="3" t="s">
        <v>71</v>
      </c>
      <c r="N973" s="3" t="s">
        <v>72</v>
      </c>
    </row>
    <row r="974" spans="1:14" x14ac:dyDescent="0.3">
      <c r="A974" s="36" t="s">
        <v>37</v>
      </c>
      <c r="B974" s="13">
        <v>114</v>
      </c>
      <c r="C974" s="48" t="str">
        <f>HYPERLINK("https://uscode.house.gov/statutes/pl/114/315.pdf", "P.L. 114-315")</f>
        <v>P.L. 114-315</v>
      </c>
      <c r="D974" s="3" t="s">
        <v>1868</v>
      </c>
      <c r="F974" s="3" t="s">
        <v>1869</v>
      </c>
      <c r="G974" s="49"/>
      <c r="H974" s="46">
        <v>43008</v>
      </c>
      <c r="I974" s="13">
        <v>2017</v>
      </c>
      <c r="J974" s="47">
        <v>531100000</v>
      </c>
      <c r="K974" s="16" t="s">
        <v>62</v>
      </c>
      <c r="L974" s="3" t="s">
        <v>265</v>
      </c>
      <c r="M974" s="3" t="s">
        <v>266</v>
      </c>
      <c r="N974" s="3" t="s">
        <v>267</v>
      </c>
    </row>
    <row r="975" spans="1:14" x14ac:dyDescent="0.3">
      <c r="A975" s="36" t="s">
        <v>37</v>
      </c>
      <c r="B975" s="13">
        <v>114</v>
      </c>
      <c r="C975" s="48" t="str">
        <f t="shared" ref="C975:C993" si="36">HYPERLINK("https://uscode.house.gov/statutes/pl/114/322.pdf", "P.L. 114-322")</f>
        <v>P.L. 114-322</v>
      </c>
      <c r="D975" s="3" t="s">
        <v>1870</v>
      </c>
      <c r="F975" s="3" t="s">
        <v>1871</v>
      </c>
      <c r="G975" s="49"/>
      <c r="H975" s="46">
        <v>44469</v>
      </c>
      <c r="I975" s="13">
        <v>2021</v>
      </c>
      <c r="J975" s="47">
        <v>10000000</v>
      </c>
      <c r="K975" s="16" t="s">
        <v>62</v>
      </c>
      <c r="L975" s="3" t="s">
        <v>60</v>
      </c>
      <c r="M975" s="3" t="s">
        <v>67</v>
      </c>
      <c r="N975" s="3" t="s">
        <v>49</v>
      </c>
    </row>
    <row r="976" spans="1:14" x14ac:dyDescent="0.3">
      <c r="A976" s="36" t="s">
        <v>37</v>
      </c>
      <c r="B976" s="13">
        <v>114</v>
      </c>
      <c r="C976" s="48" t="str">
        <f t="shared" si="36"/>
        <v>P.L. 114-322</v>
      </c>
      <c r="D976" s="3" t="s">
        <v>1870</v>
      </c>
      <c r="E976" s="3" t="s">
        <v>1872</v>
      </c>
      <c r="F976" s="3" t="s">
        <v>1873</v>
      </c>
      <c r="G976" s="49"/>
      <c r="H976" s="46">
        <v>44469</v>
      </c>
      <c r="I976" s="13">
        <v>2021</v>
      </c>
      <c r="J976" s="47">
        <v>17500000</v>
      </c>
      <c r="K976" s="16" t="s">
        <v>62</v>
      </c>
      <c r="L976" s="3" t="s">
        <v>60</v>
      </c>
      <c r="M976" s="3" t="s">
        <v>67</v>
      </c>
      <c r="N976" s="3" t="s">
        <v>49</v>
      </c>
    </row>
    <row r="977" spans="1:14" x14ac:dyDescent="0.3">
      <c r="A977" s="36" t="s">
        <v>37</v>
      </c>
      <c r="B977" s="13">
        <v>114</v>
      </c>
      <c r="C977" s="48" t="str">
        <f t="shared" si="36"/>
        <v>P.L. 114-322</v>
      </c>
      <c r="D977" s="3" t="s">
        <v>1870</v>
      </c>
      <c r="E977" s="3" t="s">
        <v>1872</v>
      </c>
      <c r="F977" s="3" t="s">
        <v>1874</v>
      </c>
      <c r="G977" s="49"/>
      <c r="H977" s="46">
        <v>44469</v>
      </c>
      <c r="I977" s="13">
        <v>2021</v>
      </c>
      <c r="J977" s="47">
        <v>2500000</v>
      </c>
      <c r="K977" s="16" t="s">
        <v>62</v>
      </c>
      <c r="L977" s="3" t="s">
        <v>60</v>
      </c>
      <c r="M977" s="3" t="s">
        <v>67</v>
      </c>
      <c r="N977" s="3" t="s">
        <v>49</v>
      </c>
    </row>
    <row r="978" spans="1:14" x14ac:dyDescent="0.3">
      <c r="A978" s="36" t="s">
        <v>37</v>
      </c>
      <c r="B978" s="13">
        <v>114</v>
      </c>
      <c r="C978" s="48" t="str">
        <f t="shared" si="36"/>
        <v>P.L. 114-322</v>
      </c>
      <c r="D978" s="3" t="s">
        <v>1870</v>
      </c>
      <c r="E978" s="3" t="s">
        <v>1875</v>
      </c>
      <c r="F978" s="3" t="s">
        <v>1876</v>
      </c>
      <c r="G978" s="49"/>
      <c r="H978" s="46">
        <v>45199</v>
      </c>
      <c r="I978" s="13">
        <v>2023</v>
      </c>
      <c r="J978" s="47">
        <v>22750000</v>
      </c>
      <c r="K978" s="16" t="s">
        <v>62</v>
      </c>
      <c r="L978" s="3" t="s">
        <v>109</v>
      </c>
      <c r="M978" s="3" t="s">
        <v>67</v>
      </c>
      <c r="N978" s="3" t="s">
        <v>49</v>
      </c>
    </row>
    <row r="979" spans="1:14" x14ac:dyDescent="0.3">
      <c r="A979" s="36" t="s">
        <v>37</v>
      </c>
      <c r="B979" s="13">
        <v>114</v>
      </c>
      <c r="C979" s="48" t="str">
        <f t="shared" si="36"/>
        <v>P.L. 114-322</v>
      </c>
      <c r="D979" s="3" t="s">
        <v>1870</v>
      </c>
      <c r="E979" s="3" t="s">
        <v>1875</v>
      </c>
      <c r="F979" s="3" t="s">
        <v>1877</v>
      </c>
      <c r="G979" s="49"/>
      <c r="H979" s="46">
        <v>45199</v>
      </c>
      <c r="I979" s="13">
        <v>2023</v>
      </c>
      <c r="J979" s="47">
        <v>10000000</v>
      </c>
      <c r="K979" s="16" t="s">
        <v>62</v>
      </c>
      <c r="L979" s="3" t="s">
        <v>109</v>
      </c>
      <c r="M979" s="3" t="s">
        <v>67</v>
      </c>
      <c r="N979" s="3" t="s">
        <v>49</v>
      </c>
    </row>
    <row r="980" spans="1:14" x14ac:dyDescent="0.3">
      <c r="A980" s="36" t="s">
        <v>37</v>
      </c>
      <c r="B980" s="13">
        <v>114</v>
      </c>
      <c r="C980" s="48" t="str">
        <f t="shared" si="36"/>
        <v>P.L. 114-322</v>
      </c>
      <c r="D980" s="3" t="s">
        <v>1870</v>
      </c>
      <c r="E980" s="3" t="s">
        <v>352</v>
      </c>
      <c r="F980" s="3" t="s">
        <v>1878</v>
      </c>
      <c r="G980" s="49"/>
      <c r="H980" s="46">
        <v>44469</v>
      </c>
      <c r="I980" s="13">
        <v>2021</v>
      </c>
      <c r="J980" s="47">
        <v>35000000</v>
      </c>
      <c r="K980" s="16" t="s">
        <v>62</v>
      </c>
      <c r="L980" s="3" t="s">
        <v>109</v>
      </c>
      <c r="M980" s="3" t="s">
        <v>67</v>
      </c>
      <c r="N980" s="3" t="s">
        <v>49</v>
      </c>
    </row>
    <row r="981" spans="1:14" x14ac:dyDescent="0.3">
      <c r="A981" s="36" t="s">
        <v>37</v>
      </c>
      <c r="B981" s="13">
        <v>114</v>
      </c>
      <c r="C981" s="48" t="str">
        <f t="shared" si="36"/>
        <v>P.L. 114-322</v>
      </c>
      <c r="D981" s="3" t="s">
        <v>1870</v>
      </c>
      <c r="E981" s="3" t="s">
        <v>1879</v>
      </c>
      <c r="F981" s="3" t="s">
        <v>1880</v>
      </c>
      <c r="G981" s="49"/>
      <c r="H981" s="46">
        <v>45930</v>
      </c>
      <c r="I981" s="13">
        <v>2025</v>
      </c>
      <c r="J981" s="16" t="s">
        <v>12</v>
      </c>
      <c r="K981" s="16" t="s">
        <v>62</v>
      </c>
      <c r="L981" s="3" t="s">
        <v>47</v>
      </c>
      <c r="M981" s="3" t="s">
        <v>67</v>
      </c>
      <c r="N981" s="3" t="s">
        <v>49</v>
      </c>
    </row>
    <row r="982" spans="1:14" x14ac:dyDescent="0.3">
      <c r="A982" s="36" t="s">
        <v>37</v>
      </c>
      <c r="B982" s="13">
        <v>114</v>
      </c>
      <c r="C982" s="48" t="str">
        <f t="shared" si="36"/>
        <v>P.L. 114-322</v>
      </c>
      <c r="D982" s="3" t="s">
        <v>1870</v>
      </c>
      <c r="E982" s="3" t="s">
        <v>1881</v>
      </c>
      <c r="F982" s="3" t="s">
        <v>1882</v>
      </c>
      <c r="G982" s="48" t="str">
        <f>HYPERLINK("https://uscode.house.gov/view.xhtml?req=granuleid:USC-prelim-title16-section777&amp;num=0&amp;edition=prelim", "16 U.S.C. 777(note)")</f>
        <v>16 U.S.C. 777(note)</v>
      </c>
      <c r="H982" s="46">
        <v>44469</v>
      </c>
      <c r="I982" s="13">
        <v>2021</v>
      </c>
      <c r="J982" s="16" t="s">
        <v>12</v>
      </c>
      <c r="K982" s="16" t="s">
        <v>62</v>
      </c>
      <c r="L982" s="3" t="s">
        <v>47</v>
      </c>
      <c r="M982" s="3" t="s">
        <v>67</v>
      </c>
      <c r="N982" s="3" t="s">
        <v>49</v>
      </c>
    </row>
    <row r="983" spans="1:14" x14ac:dyDescent="0.3">
      <c r="A983" s="36" t="s">
        <v>37</v>
      </c>
      <c r="B983" s="13">
        <v>114</v>
      </c>
      <c r="C983" s="48" t="str">
        <f t="shared" si="36"/>
        <v>P.L. 114-322</v>
      </c>
      <c r="D983" s="3" t="s">
        <v>1870</v>
      </c>
      <c r="E983" s="3" t="s">
        <v>1883</v>
      </c>
      <c r="F983" s="3" t="s">
        <v>1884</v>
      </c>
      <c r="G983" s="49"/>
      <c r="H983" s="46">
        <v>44469</v>
      </c>
      <c r="I983" s="13">
        <v>2021</v>
      </c>
      <c r="J983" s="16" t="s">
        <v>12</v>
      </c>
      <c r="K983" s="16" t="s">
        <v>62</v>
      </c>
      <c r="L983" s="3" t="s">
        <v>47</v>
      </c>
      <c r="M983" s="3" t="s">
        <v>67</v>
      </c>
      <c r="N983" s="3" t="s">
        <v>49</v>
      </c>
    </row>
    <row r="984" spans="1:14" x14ac:dyDescent="0.3">
      <c r="A984" s="36" t="s">
        <v>37</v>
      </c>
      <c r="B984" s="13">
        <v>114</v>
      </c>
      <c r="C984" s="48" t="str">
        <f t="shared" si="36"/>
        <v>P.L. 114-322</v>
      </c>
      <c r="D984" s="3" t="s">
        <v>1870</v>
      </c>
      <c r="E984" s="3" t="s">
        <v>1885</v>
      </c>
      <c r="F984" s="3" t="s">
        <v>1886</v>
      </c>
      <c r="G984" s="49"/>
      <c r="H984" s="46">
        <v>44469</v>
      </c>
      <c r="I984" s="13">
        <v>2021</v>
      </c>
      <c r="J984" s="16" t="s">
        <v>12</v>
      </c>
      <c r="K984" s="16" t="s">
        <v>62</v>
      </c>
      <c r="L984" s="3" t="s">
        <v>109</v>
      </c>
      <c r="M984" s="3" t="s">
        <v>67</v>
      </c>
      <c r="N984" s="3" t="s">
        <v>58</v>
      </c>
    </row>
    <row r="985" spans="1:14" x14ac:dyDescent="0.3">
      <c r="A985" s="36" t="s">
        <v>37</v>
      </c>
      <c r="B985" s="13">
        <v>114</v>
      </c>
      <c r="C985" s="48" t="str">
        <f t="shared" si="36"/>
        <v>P.L. 114-322</v>
      </c>
      <c r="D985" s="3" t="s">
        <v>1870</v>
      </c>
      <c r="E985" s="3" t="s">
        <v>1887</v>
      </c>
      <c r="F985" s="3" t="s">
        <v>1888</v>
      </c>
      <c r="G985" s="49"/>
      <c r="H985" s="46">
        <v>44469</v>
      </c>
      <c r="I985" s="13">
        <v>2021</v>
      </c>
      <c r="J985" s="47">
        <v>4000000</v>
      </c>
      <c r="K985" s="16" t="s">
        <v>62</v>
      </c>
      <c r="L985" s="3" t="s">
        <v>41</v>
      </c>
      <c r="M985" s="3" t="s">
        <v>42</v>
      </c>
      <c r="N985" s="3" t="s">
        <v>49</v>
      </c>
    </row>
    <row r="986" spans="1:14" x14ac:dyDescent="0.3">
      <c r="A986" s="36" t="s">
        <v>37</v>
      </c>
      <c r="B986" s="13">
        <v>114</v>
      </c>
      <c r="C986" s="48" t="str">
        <f t="shared" si="36"/>
        <v>P.L. 114-322</v>
      </c>
      <c r="D986" s="3" t="s">
        <v>1870</v>
      </c>
      <c r="E986" s="3" t="s">
        <v>1889</v>
      </c>
      <c r="F986" s="3" t="s">
        <v>1890</v>
      </c>
      <c r="G986" s="49"/>
      <c r="H986" s="46">
        <v>46295</v>
      </c>
      <c r="I986" s="13">
        <v>2026</v>
      </c>
      <c r="J986" s="47">
        <v>60000000</v>
      </c>
      <c r="K986" s="16" t="s">
        <v>62</v>
      </c>
      <c r="L986" s="3" t="s">
        <v>1635</v>
      </c>
      <c r="M986" s="3" t="s">
        <v>230</v>
      </c>
      <c r="N986" s="3" t="s">
        <v>122</v>
      </c>
    </row>
    <row r="987" spans="1:14" x14ac:dyDescent="0.3">
      <c r="A987" s="36" t="s">
        <v>37</v>
      </c>
      <c r="B987" s="13">
        <v>114</v>
      </c>
      <c r="C987" s="48" t="str">
        <f t="shared" si="36"/>
        <v>P.L. 114-322</v>
      </c>
      <c r="D987" s="3" t="s">
        <v>1870</v>
      </c>
      <c r="E987" s="3" t="s">
        <v>1891</v>
      </c>
      <c r="F987" s="3" t="s">
        <v>1892</v>
      </c>
      <c r="G987" s="48" t="str">
        <f>HYPERLINK("https://uscode.house.gov/view.xhtml?req=granuleid:USC-prelim-title33-section2908&amp;num=0&amp;edition=prelim", "33 U.S.C. 2908(a)")</f>
        <v>33 U.S.C. 2908(a)</v>
      </c>
      <c r="H987" s="46">
        <v>44469</v>
      </c>
      <c r="I987" s="13">
        <v>2021</v>
      </c>
      <c r="J987" s="47">
        <v>25000000</v>
      </c>
      <c r="K987" s="16" t="s">
        <v>62</v>
      </c>
      <c r="L987" s="3" t="s">
        <v>109</v>
      </c>
      <c r="M987" s="3" t="s">
        <v>67</v>
      </c>
      <c r="N987" s="3" t="s">
        <v>58</v>
      </c>
    </row>
    <row r="988" spans="1:14" x14ac:dyDescent="0.3">
      <c r="A988" s="36" t="s">
        <v>37</v>
      </c>
      <c r="B988" s="13">
        <v>114</v>
      </c>
      <c r="C988" s="48" t="str">
        <f t="shared" si="36"/>
        <v>P.L. 114-322</v>
      </c>
      <c r="D988" s="3" t="s">
        <v>1870</v>
      </c>
      <c r="E988" s="3" t="s">
        <v>1891</v>
      </c>
      <c r="F988" s="3" t="s">
        <v>1893</v>
      </c>
      <c r="G988" s="48" t="str">
        <f>HYPERLINK("https://uscode.house.gov/view.xhtml?req=granuleid:USC-prelim-title33-section2908&amp;num=0&amp;edition=prelim", "33 U.S.C. 2908(a)")</f>
        <v>33 U.S.C. 2908(a)</v>
      </c>
      <c r="H988" s="46">
        <v>44469</v>
      </c>
      <c r="I988" s="13">
        <v>2021</v>
      </c>
      <c r="J988" s="47">
        <v>2500000</v>
      </c>
      <c r="K988" s="16" t="s">
        <v>62</v>
      </c>
      <c r="L988" s="3" t="s">
        <v>47</v>
      </c>
      <c r="M988" s="3" t="s">
        <v>67</v>
      </c>
      <c r="N988" s="3" t="s">
        <v>49</v>
      </c>
    </row>
    <row r="989" spans="1:14" x14ac:dyDescent="0.3">
      <c r="A989" s="36" t="s">
        <v>37</v>
      </c>
      <c r="B989" s="13">
        <v>114</v>
      </c>
      <c r="C989" s="48" t="str">
        <f t="shared" si="36"/>
        <v>P.L. 114-322</v>
      </c>
      <c r="D989" s="3" t="s">
        <v>1870</v>
      </c>
      <c r="E989" s="3" t="s">
        <v>1891</v>
      </c>
      <c r="F989" s="3" t="s">
        <v>1894</v>
      </c>
      <c r="G989" s="48" t="str">
        <f>HYPERLINK("https://uscode.house.gov/view.xhtml?req=granuleid:USC-prelim-title33-section2908&amp;num=0&amp;edition=prelim", "33 U.S.C. 2908(a)")</f>
        <v>33 U.S.C. 2908(a)</v>
      </c>
      <c r="H989" s="46">
        <v>44469</v>
      </c>
      <c r="I989" s="13">
        <v>2021</v>
      </c>
      <c r="J989" s="47">
        <v>2500000</v>
      </c>
      <c r="K989" s="47">
        <v>2500000</v>
      </c>
      <c r="L989" s="3" t="s">
        <v>47</v>
      </c>
      <c r="M989" s="3" t="s">
        <v>67</v>
      </c>
      <c r="N989" s="3" t="s">
        <v>43</v>
      </c>
    </row>
    <row r="990" spans="1:14" x14ac:dyDescent="0.3">
      <c r="A990" s="36" t="s">
        <v>37</v>
      </c>
      <c r="B990" s="13">
        <v>114</v>
      </c>
      <c r="C990" s="48" t="str">
        <f t="shared" si="36"/>
        <v>P.L. 114-322</v>
      </c>
      <c r="D990" s="3" t="s">
        <v>1870</v>
      </c>
      <c r="E990" s="3" t="s">
        <v>1891</v>
      </c>
      <c r="F990" s="3" t="s">
        <v>1895</v>
      </c>
      <c r="G990" s="48" t="str">
        <f>HYPERLINK("https://uscode.house.gov/view.xhtml?req=granuleid:USC-prelim-title33-section2908&amp;num=0&amp;edition=prelim", "33 U.S.C. 2908(a)")</f>
        <v>33 U.S.C. 2908(a)</v>
      </c>
      <c r="H990" s="46">
        <v>44469</v>
      </c>
      <c r="I990" s="13">
        <v>2021</v>
      </c>
      <c r="J990" s="47">
        <v>2500000</v>
      </c>
      <c r="K990" s="16" t="s">
        <v>62</v>
      </c>
      <c r="L990" s="3" t="s">
        <v>109</v>
      </c>
      <c r="M990" s="3" t="s">
        <v>67</v>
      </c>
      <c r="N990" s="3" t="s">
        <v>49</v>
      </c>
    </row>
    <row r="991" spans="1:14" x14ac:dyDescent="0.3">
      <c r="A991" s="36" t="s">
        <v>37</v>
      </c>
      <c r="B991" s="13">
        <v>114</v>
      </c>
      <c r="C991" s="48" t="str">
        <f t="shared" si="36"/>
        <v>P.L. 114-322</v>
      </c>
      <c r="D991" s="3" t="s">
        <v>1870</v>
      </c>
      <c r="E991" s="3" t="s">
        <v>1891</v>
      </c>
      <c r="F991" s="3" t="s">
        <v>1896</v>
      </c>
      <c r="G991" s="48" t="str">
        <f>HYPERLINK("https://uscode.house.gov/view.xhtml?req=granuleid:USC-prelim-title33-section2908&amp;num=0&amp;edition=prelim", "33 U.S.C. 2908(a)")</f>
        <v>33 U.S.C. 2908(a)</v>
      </c>
      <c r="H991" s="46">
        <v>44469</v>
      </c>
      <c r="I991" s="13">
        <v>2021</v>
      </c>
      <c r="J991" s="47">
        <v>2500000</v>
      </c>
      <c r="K991" s="16" t="s">
        <v>62</v>
      </c>
      <c r="L991" s="3" t="s">
        <v>109</v>
      </c>
      <c r="M991" s="3" t="s">
        <v>67</v>
      </c>
      <c r="N991" s="3" t="s">
        <v>406</v>
      </c>
    </row>
    <row r="992" spans="1:14" x14ac:dyDescent="0.3">
      <c r="A992" s="36" t="s">
        <v>37</v>
      </c>
      <c r="B992" s="13">
        <v>114</v>
      </c>
      <c r="C992" s="48" t="str">
        <f t="shared" si="36"/>
        <v>P.L. 114-322</v>
      </c>
      <c r="D992" s="3" t="s">
        <v>1870</v>
      </c>
      <c r="E992" s="3" t="s">
        <v>1891</v>
      </c>
      <c r="F992" s="3" t="s">
        <v>1897</v>
      </c>
      <c r="G992" s="48" t="str">
        <f>HYPERLINK("https://uscode.house.gov/view.xhtml?req=granuleid:USC-prelim-title33-section2908&amp;num=0&amp;edition=prelim", "33 U.S.C. 2908(a)(2)")</f>
        <v>33 U.S.C. 2908(a)(2)</v>
      </c>
      <c r="H992" s="46">
        <v>44469</v>
      </c>
      <c r="I992" s="13">
        <v>2021</v>
      </c>
      <c r="J992" s="47">
        <v>1500000</v>
      </c>
      <c r="K992" s="16" t="s">
        <v>62</v>
      </c>
      <c r="L992" s="3" t="s">
        <v>109</v>
      </c>
      <c r="M992" s="3" t="s">
        <v>67</v>
      </c>
      <c r="N992" s="3" t="s">
        <v>43</v>
      </c>
    </row>
    <row r="993" spans="1:14" x14ac:dyDescent="0.3">
      <c r="A993" s="36" t="s">
        <v>37</v>
      </c>
      <c r="B993" s="13">
        <v>114</v>
      </c>
      <c r="C993" s="48" t="str">
        <f t="shared" si="36"/>
        <v>P.L. 114-322</v>
      </c>
      <c r="D993" s="3" t="s">
        <v>1870</v>
      </c>
      <c r="F993" s="3" t="s">
        <v>1898</v>
      </c>
      <c r="G993" s="48" t="str">
        <f>HYPERLINK("https://uscode.house.gov/view.xhtml?req=granuleid:USC-prelim-title42-section10301&amp;num=0&amp;edition=prelim", "42 U.S.C. 10301")</f>
        <v>42 U.S.C. 10301</v>
      </c>
      <c r="H993" s="46">
        <v>44469</v>
      </c>
      <c r="I993" s="13">
        <v>2021</v>
      </c>
      <c r="J993" s="47">
        <v>5000000</v>
      </c>
      <c r="K993" s="47">
        <v>12000000</v>
      </c>
      <c r="L993" s="3" t="s">
        <v>47</v>
      </c>
      <c r="M993" s="3" t="s">
        <v>67</v>
      </c>
      <c r="N993" s="3" t="s">
        <v>58</v>
      </c>
    </row>
    <row r="994" spans="1:14" x14ac:dyDescent="0.3">
      <c r="A994" s="36" t="s">
        <v>37</v>
      </c>
      <c r="B994" s="13">
        <v>114</v>
      </c>
      <c r="C994" s="48" t="str">
        <f>HYPERLINK("https://uscode.house.gov/statutes/pl/114/324.pdf", "P.L. 114-324")</f>
        <v>P.L. 114-324</v>
      </c>
      <c r="D994" s="3" t="s">
        <v>1899</v>
      </c>
      <c r="F994" s="3" t="s">
        <v>1900</v>
      </c>
      <c r="G994" s="49"/>
      <c r="H994" s="46">
        <v>44469</v>
      </c>
      <c r="I994" s="13">
        <v>2021</v>
      </c>
      <c r="J994" s="47">
        <v>23000000</v>
      </c>
      <c r="K994" s="47">
        <v>35000000</v>
      </c>
      <c r="L994" s="3" t="s">
        <v>41</v>
      </c>
      <c r="M994" s="3" t="s">
        <v>42</v>
      </c>
      <c r="N994" s="3" t="s">
        <v>43</v>
      </c>
    </row>
    <row r="995" spans="1:14" x14ac:dyDescent="0.3">
      <c r="A995" s="36" t="s">
        <v>37</v>
      </c>
      <c r="B995" s="13">
        <v>114</v>
      </c>
      <c r="C995" s="48" t="str">
        <f>HYPERLINK("https://uscode.house.gov/statutes/pl/114/324.pdf", "P.L. 114-324")</f>
        <v>P.L. 114-324</v>
      </c>
      <c r="D995" s="3" t="s">
        <v>1899</v>
      </c>
      <c r="F995" s="3" t="s">
        <v>1901</v>
      </c>
      <c r="G995" s="49"/>
      <c r="H995" s="46">
        <v>44469</v>
      </c>
      <c r="I995" s="13">
        <v>2021</v>
      </c>
      <c r="J995" s="47">
        <v>10000000</v>
      </c>
      <c r="K995" s="47">
        <v>15000000</v>
      </c>
      <c r="L995" s="3" t="s">
        <v>41</v>
      </c>
      <c r="M995" s="3" t="s">
        <v>42</v>
      </c>
      <c r="N995" s="3" t="s">
        <v>43</v>
      </c>
    </row>
    <row r="996" spans="1:14" x14ac:dyDescent="0.3">
      <c r="A996" s="36" t="s">
        <v>37</v>
      </c>
      <c r="B996" s="13">
        <v>114</v>
      </c>
      <c r="C996" s="48" t="str">
        <f>HYPERLINK("https://uscode.house.gov/statutes/pl/114/324.pdf", "P.L. 114-324")</f>
        <v>P.L. 114-324</v>
      </c>
      <c r="D996" s="3" t="s">
        <v>1899</v>
      </c>
      <c r="E996" s="3" t="s">
        <v>375</v>
      </c>
      <c r="F996" s="3" t="s">
        <v>1902</v>
      </c>
      <c r="G996" s="48" t="str">
        <f>HYPERLINK("https://uscode.house.gov/view.xhtml?req=granuleid:USC-prelim-title34-section10153&amp;num=0&amp;edition=prelim", "34 U.S.C. 10153(b)(3)")</f>
        <v>34 U.S.C. 10153(b)(3)</v>
      </c>
      <c r="H996" s="46">
        <v>44469</v>
      </c>
      <c r="I996" s="13">
        <v>2021</v>
      </c>
      <c r="J996" s="47">
        <v>10000000</v>
      </c>
      <c r="K996" s="47">
        <v>10000000</v>
      </c>
      <c r="L996" s="3" t="s">
        <v>41</v>
      </c>
      <c r="M996" s="3" t="s">
        <v>42</v>
      </c>
      <c r="N996" s="3" t="s">
        <v>43</v>
      </c>
    </row>
    <row r="997" spans="1:14" x14ac:dyDescent="0.3">
      <c r="A997" s="36" t="s">
        <v>37</v>
      </c>
      <c r="B997" s="13">
        <v>114</v>
      </c>
      <c r="C997" s="48" t="str">
        <f>HYPERLINK("https://uscode.house.gov/statutes/pl/114/325.pdf", "P.L. 114-325")</f>
        <v>P.L. 114-325</v>
      </c>
      <c r="D997" s="3" t="s">
        <v>1903</v>
      </c>
      <c r="E997" s="3" t="s">
        <v>222</v>
      </c>
      <c r="F997" s="3" t="s">
        <v>1904</v>
      </c>
      <c r="G997" s="48" t="str">
        <f>HYPERLINK("https://uscode.house.gov/view.xhtml?req=granuleid:USC-prelim-title28-section509&amp;num=0&amp;edition=prelim", "28 U.S.C. 509(note)")</f>
        <v>28 U.S.C. 509(note)</v>
      </c>
      <c r="H997" s="46">
        <v>46660</v>
      </c>
      <c r="I997" s="13">
        <v>2027</v>
      </c>
      <c r="J997" s="47">
        <v>1500000</v>
      </c>
      <c r="K997" s="16" t="s">
        <v>62</v>
      </c>
      <c r="L997" s="3" t="s">
        <v>41</v>
      </c>
      <c r="M997" s="3" t="s">
        <v>42</v>
      </c>
      <c r="N997" s="3" t="s">
        <v>43</v>
      </c>
    </row>
    <row r="998" spans="1:14" x14ac:dyDescent="0.3">
      <c r="A998" s="36" t="s">
        <v>37</v>
      </c>
      <c r="B998" s="13">
        <v>114</v>
      </c>
      <c r="C998" s="48" t="str">
        <f>HYPERLINK("https://uscode.house.gov/statutes/pl/114/325.pdf", "P.L. 114-325")</f>
        <v>P.L. 114-325</v>
      </c>
      <c r="D998" s="3" t="s">
        <v>1903</v>
      </c>
      <c r="E998" s="3" t="s">
        <v>1905</v>
      </c>
      <c r="F998" s="3" t="s">
        <v>1906</v>
      </c>
      <c r="G998" s="48" t="str">
        <f>HYPERLINK("https://uscode.house.gov/view.xhtml?req=granuleid:USC-prelim-title28-section509&amp;num=0&amp;edition=prelim", "28 U.S.C. 509")</f>
        <v>28 U.S.C. 509</v>
      </c>
      <c r="H998" s="46">
        <v>46660</v>
      </c>
      <c r="I998" s="13">
        <v>2027</v>
      </c>
      <c r="J998" s="47">
        <v>2000000</v>
      </c>
      <c r="K998" s="16" t="s">
        <v>62</v>
      </c>
      <c r="L998" s="3" t="s">
        <v>41</v>
      </c>
      <c r="M998" s="3" t="s">
        <v>42</v>
      </c>
      <c r="N998" s="3" t="s">
        <v>43</v>
      </c>
    </row>
    <row r="999" spans="1:14" x14ac:dyDescent="0.3">
      <c r="A999" s="36" t="s">
        <v>37</v>
      </c>
      <c r="B999" s="13">
        <v>114</v>
      </c>
      <c r="C999" s="48" t="str">
        <f>HYPERLINK("https://uscode.house.gov/statutes/pl/114/325.pdf", "P.L. 114-325")</f>
        <v>P.L. 114-325</v>
      </c>
      <c r="D999" s="3" t="s">
        <v>1903</v>
      </c>
      <c r="E999" s="3" t="s">
        <v>1907</v>
      </c>
      <c r="F999" s="3" t="s">
        <v>1908</v>
      </c>
      <c r="G999" s="48" t="str">
        <f>HYPERLINK("https://uscode.house.gov/view.xhtml?req=granuleid:USC-prelim-title28-section509&amp;num=0&amp;edition=prelim", "28 U.S.C. 509")</f>
        <v>28 U.S.C. 509</v>
      </c>
      <c r="H999" s="46">
        <v>46660</v>
      </c>
      <c r="I999" s="13">
        <v>2027</v>
      </c>
      <c r="J999" s="47">
        <v>10000000</v>
      </c>
      <c r="K999" s="16" t="s">
        <v>62</v>
      </c>
      <c r="L999" s="3" t="s">
        <v>41</v>
      </c>
      <c r="M999" s="3" t="s">
        <v>42</v>
      </c>
      <c r="N999" s="3" t="s">
        <v>43</v>
      </c>
    </row>
    <row r="1000" spans="1:14" x14ac:dyDescent="0.3">
      <c r="A1000" s="36" t="s">
        <v>37</v>
      </c>
      <c r="B1000" s="13">
        <v>114</v>
      </c>
      <c r="C1000" s="48" t="str">
        <f>HYPERLINK("https://uscode.house.gov/statutes/pl/114/327.pdf", "P.L. 114-327")</f>
        <v>P.L. 114-327</v>
      </c>
      <c r="D1000" s="3" t="s">
        <v>1909</v>
      </c>
      <c r="E1000" s="3" t="s">
        <v>1910</v>
      </c>
      <c r="F1000" s="3" t="s">
        <v>1911</v>
      </c>
      <c r="G1000" s="49"/>
      <c r="H1000" s="46">
        <v>44469</v>
      </c>
      <c r="I1000" s="13">
        <v>2021</v>
      </c>
      <c r="J1000" s="47">
        <v>300000</v>
      </c>
      <c r="K1000" s="16" t="s">
        <v>62</v>
      </c>
      <c r="L1000" s="3" t="s">
        <v>47</v>
      </c>
      <c r="M1000" s="3" t="s">
        <v>48</v>
      </c>
      <c r="N1000" s="3" t="s">
        <v>43</v>
      </c>
    </row>
    <row r="1001" spans="1:14" x14ac:dyDescent="0.3">
      <c r="A1001" s="36" t="s">
        <v>37</v>
      </c>
      <c r="B1001" s="13">
        <v>114</v>
      </c>
      <c r="C1001" s="48" t="str">
        <f>HYPERLINK("https://uscode.house.gov/statutes/pl/114/327.pdf", "P.L. 114-327")</f>
        <v>P.L. 114-327</v>
      </c>
      <c r="D1001" s="3" t="s">
        <v>1909</v>
      </c>
      <c r="E1001" s="3" t="s">
        <v>476</v>
      </c>
      <c r="F1001" s="3" t="s">
        <v>1912</v>
      </c>
      <c r="G1001" s="49"/>
      <c r="H1001" s="46">
        <v>44469</v>
      </c>
      <c r="I1001" s="13">
        <v>2021</v>
      </c>
      <c r="J1001" s="47">
        <v>300000</v>
      </c>
      <c r="K1001" s="16" t="s">
        <v>62</v>
      </c>
      <c r="L1001" s="3" t="s">
        <v>47</v>
      </c>
      <c r="M1001" s="3" t="s">
        <v>48</v>
      </c>
      <c r="N1001" s="3" t="s">
        <v>43</v>
      </c>
    </row>
    <row r="1002" spans="1:14" x14ac:dyDescent="0.3">
      <c r="A1002" s="36" t="s">
        <v>37</v>
      </c>
      <c r="B1002" s="13">
        <v>114</v>
      </c>
      <c r="C1002" s="48" t="str">
        <f>HYPERLINK("https://uscode.house.gov/statutes/pl/114/327.pdf", "P.L. 114-327")</f>
        <v>P.L. 114-327</v>
      </c>
      <c r="D1002" s="3" t="s">
        <v>1909</v>
      </c>
      <c r="E1002" s="3" t="s">
        <v>197</v>
      </c>
      <c r="F1002" s="3" t="s">
        <v>1913</v>
      </c>
      <c r="G1002" s="48" t="str">
        <f>HYPERLINK("https://uscode.house.gov/view.xhtml?req=granuleid:USC-prelim-title16-section5610&amp;num=0&amp;edition=prelim", "16 U.S.C. 5610")</f>
        <v>16 U.S.C. 5610</v>
      </c>
      <c r="H1002" s="46">
        <v>44469</v>
      </c>
      <c r="I1002" s="13">
        <v>2021</v>
      </c>
      <c r="J1002" s="47">
        <v>500000</v>
      </c>
      <c r="K1002" s="16" t="s">
        <v>62</v>
      </c>
      <c r="L1002" s="3" t="s">
        <v>47</v>
      </c>
      <c r="M1002" s="3" t="s">
        <v>48</v>
      </c>
      <c r="N1002" s="3" t="s">
        <v>43</v>
      </c>
    </row>
    <row r="1003" spans="1:14" x14ac:dyDescent="0.3">
      <c r="A1003" s="36" t="s">
        <v>37</v>
      </c>
      <c r="B1003" s="13">
        <v>114</v>
      </c>
      <c r="C1003" s="48" t="str">
        <f>HYPERLINK("https://uscode.house.gov/statutes/pl/114/328.pdf", "P.L. 114-328")</f>
        <v>P.L. 114-328</v>
      </c>
      <c r="D1003" s="3" t="s">
        <v>1914</v>
      </c>
      <c r="E1003" s="3" t="s">
        <v>1915</v>
      </c>
      <c r="F1003" s="3" t="s">
        <v>1916</v>
      </c>
      <c r="G1003" s="49"/>
      <c r="H1003" s="46">
        <v>44104</v>
      </c>
      <c r="I1003" s="13">
        <v>2020</v>
      </c>
      <c r="J1003" s="47">
        <v>37500000</v>
      </c>
      <c r="K1003" s="16" t="s">
        <v>62</v>
      </c>
      <c r="L1003" s="3" t="s">
        <v>1635</v>
      </c>
      <c r="M1003" s="3" t="s">
        <v>1636</v>
      </c>
      <c r="N1003" s="3" t="s">
        <v>1664</v>
      </c>
    </row>
    <row r="1004" spans="1:14" x14ac:dyDescent="0.3">
      <c r="A1004" s="36" t="s">
        <v>37</v>
      </c>
      <c r="B1004" s="13">
        <v>115</v>
      </c>
      <c r="C1004" s="48" t="str">
        <f t="shared" ref="C1004:C1012" si="37">HYPERLINK("https://uscode.house.gov/statutes/pl/115/10.pdf", "P.L. 115-10")</f>
        <v>P.L. 115-10</v>
      </c>
      <c r="D1004" s="3" t="s">
        <v>1917</v>
      </c>
      <c r="E1004" s="3" t="s">
        <v>1918</v>
      </c>
      <c r="F1004" s="3" t="s">
        <v>1919</v>
      </c>
      <c r="G1004" s="49"/>
      <c r="H1004" s="46">
        <v>43008</v>
      </c>
      <c r="I1004" s="13">
        <v>2017</v>
      </c>
      <c r="J1004" s="47">
        <v>4330000000</v>
      </c>
      <c r="K1004" s="47">
        <v>7468850000</v>
      </c>
      <c r="L1004" s="3" t="s">
        <v>135</v>
      </c>
      <c r="M1004" s="3" t="s">
        <v>148</v>
      </c>
      <c r="N1004" s="3" t="s">
        <v>43</v>
      </c>
    </row>
    <row r="1005" spans="1:14" x14ac:dyDescent="0.3">
      <c r="A1005" s="36" t="s">
        <v>37</v>
      </c>
      <c r="B1005" s="13">
        <v>115</v>
      </c>
      <c r="C1005" s="48" t="str">
        <f t="shared" si="37"/>
        <v>P.L. 115-10</v>
      </c>
      <c r="D1005" s="3" t="s">
        <v>1917</v>
      </c>
      <c r="E1005" s="3" t="s">
        <v>1920</v>
      </c>
      <c r="F1005" s="3" t="s">
        <v>1921</v>
      </c>
      <c r="G1005" s="49"/>
      <c r="H1005" s="46">
        <v>43008</v>
      </c>
      <c r="I1005" s="13">
        <v>2017</v>
      </c>
      <c r="J1005" s="47">
        <v>5023000000</v>
      </c>
      <c r="K1005" s="47">
        <v>4250000000</v>
      </c>
      <c r="L1005" s="3" t="s">
        <v>135</v>
      </c>
      <c r="M1005" s="3" t="s">
        <v>148</v>
      </c>
      <c r="N1005" s="3" t="s">
        <v>43</v>
      </c>
    </row>
    <row r="1006" spans="1:14" x14ac:dyDescent="0.3">
      <c r="A1006" s="36" t="s">
        <v>37</v>
      </c>
      <c r="B1006" s="13">
        <v>115</v>
      </c>
      <c r="C1006" s="48" t="str">
        <f t="shared" si="37"/>
        <v>P.L. 115-10</v>
      </c>
      <c r="D1006" s="3" t="s">
        <v>1917</v>
      </c>
      <c r="E1006" s="3" t="s">
        <v>1922</v>
      </c>
      <c r="F1006" s="3" t="s">
        <v>1923</v>
      </c>
      <c r="G1006" s="49"/>
      <c r="H1006" s="46">
        <v>43008</v>
      </c>
      <c r="I1006" s="13">
        <v>2017</v>
      </c>
      <c r="J1006" s="47">
        <v>5500000000</v>
      </c>
      <c r="K1006" s="47">
        <v>7795000000</v>
      </c>
      <c r="L1006" s="3" t="s">
        <v>135</v>
      </c>
      <c r="M1006" s="3" t="s">
        <v>148</v>
      </c>
      <c r="N1006" s="3" t="s">
        <v>43</v>
      </c>
    </row>
    <row r="1007" spans="1:14" x14ac:dyDescent="0.3">
      <c r="A1007" s="36" t="s">
        <v>37</v>
      </c>
      <c r="B1007" s="13">
        <v>115</v>
      </c>
      <c r="C1007" s="48" t="str">
        <f t="shared" si="37"/>
        <v>P.L. 115-10</v>
      </c>
      <c r="D1007" s="3" t="s">
        <v>1917</v>
      </c>
      <c r="E1007" s="3" t="s">
        <v>1565</v>
      </c>
      <c r="F1007" s="3" t="s">
        <v>1924</v>
      </c>
      <c r="G1007" s="49"/>
      <c r="H1007" s="46">
        <v>43008</v>
      </c>
      <c r="I1007" s="13">
        <v>2017</v>
      </c>
      <c r="J1007" s="47">
        <v>640000000</v>
      </c>
      <c r="K1007" s="47">
        <v>935000000</v>
      </c>
      <c r="L1007" s="3" t="s">
        <v>135</v>
      </c>
      <c r="M1007" s="3" t="s">
        <v>148</v>
      </c>
      <c r="N1007" s="3" t="s">
        <v>43</v>
      </c>
    </row>
    <row r="1008" spans="1:14" x14ac:dyDescent="0.3">
      <c r="A1008" s="36" t="s">
        <v>37</v>
      </c>
      <c r="B1008" s="13">
        <v>115</v>
      </c>
      <c r="C1008" s="48" t="str">
        <f t="shared" si="37"/>
        <v>P.L. 115-10</v>
      </c>
      <c r="D1008" s="3" t="s">
        <v>1917</v>
      </c>
      <c r="E1008" s="3" t="s">
        <v>1925</v>
      </c>
      <c r="F1008" s="3" t="s">
        <v>1926</v>
      </c>
      <c r="G1008" s="49"/>
      <c r="H1008" s="46">
        <v>43008</v>
      </c>
      <c r="I1008" s="13">
        <v>2017</v>
      </c>
      <c r="J1008" s="47">
        <v>115000000</v>
      </c>
      <c r="K1008" s="47">
        <v>143500000</v>
      </c>
      <c r="L1008" s="3" t="s">
        <v>135</v>
      </c>
      <c r="M1008" s="3" t="s">
        <v>148</v>
      </c>
      <c r="N1008" s="3" t="s">
        <v>43</v>
      </c>
    </row>
    <row r="1009" spans="1:14" x14ac:dyDescent="0.3">
      <c r="A1009" s="36" t="s">
        <v>37</v>
      </c>
      <c r="B1009" s="13">
        <v>115</v>
      </c>
      <c r="C1009" s="48" t="str">
        <f t="shared" si="37"/>
        <v>P.L. 115-10</v>
      </c>
      <c r="D1009" s="3" t="s">
        <v>1917</v>
      </c>
      <c r="E1009" s="3" t="s">
        <v>1927</v>
      </c>
      <c r="F1009" s="3" t="s">
        <v>1928</v>
      </c>
      <c r="G1009" s="49"/>
      <c r="H1009" s="46">
        <v>43008</v>
      </c>
      <c r="I1009" s="13">
        <v>2017</v>
      </c>
      <c r="J1009" s="47">
        <v>388000000</v>
      </c>
      <c r="K1009" s="47">
        <v>603300000</v>
      </c>
      <c r="L1009" s="3" t="s">
        <v>135</v>
      </c>
      <c r="M1009" s="3" t="s">
        <v>148</v>
      </c>
      <c r="N1009" s="3" t="s">
        <v>43</v>
      </c>
    </row>
    <row r="1010" spans="1:14" x14ac:dyDescent="0.3">
      <c r="A1010" s="36" t="s">
        <v>37</v>
      </c>
      <c r="B1010" s="13">
        <v>115</v>
      </c>
      <c r="C1010" s="48" t="str">
        <f t="shared" si="37"/>
        <v>P.L. 115-10</v>
      </c>
      <c r="D1010" s="3" t="s">
        <v>1917</v>
      </c>
      <c r="E1010" s="3" t="s">
        <v>1929</v>
      </c>
      <c r="F1010" s="3" t="s">
        <v>1930</v>
      </c>
      <c r="G1010" s="49"/>
      <c r="H1010" s="46">
        <v>43008</v>
      </c>
      <c r="I1010" s="13">
        <v>2017</v>
      </c>
      <c r="J1010" s="47">
        <v>37400000</v>
      </c>
      <c r="K1010" s="47">
        <v>47600000</v>
      </c>
      <c r="L1010" s="3" t="s">
        <v>135</v>
      </c>
      <c r="M1010" s="3" t="s">
        <v>148</v>
      </c>
      <c r="N1010" s="3" t="s">
        <v>43</v>
      </c>
    </row>
    <row r="1011" spans="1:14" x14ac:dyDescent="0.3">
      <c r="A1011" s="36" t="s">
        <v>37</v>
      </c>
      <c r="B1011" s="13">
        <v>115</v>
      </c>
      <c r="C1011" s="48" t="str">
        <f t="shared" si="37"/>
        <v>P.L. 115-10</v>
      </c>
      <c r="D1011" s="3" t="s">
        <v>1917</v>
      </c>
      <c r="E1011" s="3" t="s">
        <v>1931</v>
      </c>
      <c r="F1011" s="3" t="s">
        <v>1932</v>
      </c>
      <c r="G1011" s="49"/>
      <c r="H1011" s="46">
        <v>43008</v>
      </c>
      <c r="I1011" s="13">
        <v>2017</v>
      </c>
      <c r="J1011" s="47">
        <v>686000000</v>
      </c>
      <c r="K1011" s="47">
        <v>1200000000</v>
      </c>
      <c r="L1011" s="3" t="s">
        <v>135</v>
      </c>
      <c r="M1011" s="3" t="s">
        <v>148</v>
      </c>
      <c r="N1011" s="3" t="s">
        <v>43</v>
      </c>
    </row>
    <row r="1012" spans="1:14" x14ac:dyDescent="0.3">
      <c r="A1012" s="36" t="s">
        <v>37</v>
      </c>
      <c r="B1012" s="13">
        <v>115</v>
      </c>
      <c r="C1012" s="48" t="str">
        <f t="shared" si="37"/>
        <v>P.L. 115-10</v>
      </c>
      <c r="D1012" s="3" t="s">
        <v>1917</v>
      </c>
      <c r="E1012" s="3" t="s">
        <v>1933</v>
      </c>
      <c r="F1012" s="3" t="s">
        <v>1934</v>
      </c>
      <c r="G1012" s="49"/>
      <c r="H1012" s="46">
        <v>43008</v>
      </c>
      <c r="I1012" s="13">
        <v>2017</v>
      </c>
      <c r="J1012" s="47">
        <v>2788600000</v>
      </c>
      <c r="K1012" s="47">
        <v>3129451000</v>
      </c>
      <c r="L1012" s="3" t="s">
        <v>135</v>
      </c>
      <c r="M1012" s="3" t="s">
        <v>148</v>
      </c>
      <c r="N1012" s="3" t="s">
        <v>43</v>
      </c>
    </row>
    <row r="1013" spans="1:14" x14ac:dyDescent="0.3">
      <c r="A1013" s="36" t="s">
        <v>37</v>
      </c>
      <c r="B1013" s="13">
        <v>115</v>
      </c>
      <c r="C1013" s="48" t="str">
        <f>HYPERLINK("https://uscode.house.gov/statutes/pl/115/25.pdf", "P.L. 115-25")</f>
        <v>P.L. 115-25</v>
      </c>
      <c r="D1013" s="3" t="s">
        <v>1935</v>
      </c>
      <c r="E1013" s="3" t="s">
        <v>1936</v>
      </c>
      <c r="F1013" s="3" t="s">
        <v>1937</v>
      </c>
      <c r="G1013" s="48" t="str">
        <f>HYPERLINK("https://uscode.house.gov/view.xhtml?req=granuleid:USC-prelim-title33-section3207&amp;num=0&amp;edition=prelim", "33 U.S.C. 3207")</f>
        <v>33 U.S.C. 3207</v>
      </c>
      <c r="H1013" s="46">
        <v>44469</v>
      </c>
      <c r="I1013" s="13">
        <v>2021</v>
      </c>
      <c r="J1013" s="47">
        <v>25800000</v>
      </c>
      <c r="K1013" s="47">
        <v>26300000</v>
      </c>
      <c r="L1013" s="3" t="s">
        <v>60</v>
      </c>
      <c r="M1013" s="3" t="s">
        <v>148</v>
      </c>
      <c r="N1013" s="3" t="s">
        <v>43</v>
      </c>
    </row>
    <row r="1014" spans="1:14" x14ac:dyDescent="0.3">
      <c r="A1014" s="36" t="s">
        <v>37</v>
      </c>
      <c r="B1014" s="13">
        <v>115</v>
      </c>
      <c r="C1014" s="48" t="str">
        <f>HYPERLINK("https://uscode.house.gov/statutes/pl/115/31.pdf", "P.L. 115-31")</f>
        <v>P.L. 115-31</v>
      </c>
      <c r="D1014" s="3" t="s">
        <v>1938</v>
      </c>
      <c r="E1014" s="3" t="s">
        <v>1939</v>
      </c>
      <c r="F1014" s="3" t="s">
        <v>1940</v>
      </c>
      <c r="G1014" s="49"/>
      <c r="H1014" s="46">
        <v>43008</v>
      </c>
      <c r="I1014" s="13">
        <v>2017</v>
      </c>
      <c r="J1014" s="47">
        <v>574000000</v>
      </c>
      <c r="K1014" s="16" t="s">
        <v>62</v>
      </c>
      <c r="L1014" s="3" t="s">
        <v>156</v>
      </c>
      <c r="M1014" s="3" t="s">
        <v>157</v>
      </c>
      <c r="N1014" s="3" t="s">
        <v>158</v>
      </c>
    </row>
    <row r="1015" spans="1:14" x14ac:dyDescent="0.3">
      <c r="A1015" s="36" t="s">
        <v>37</v>
      </c>
      <c r="B1015" s="13">
        <v>115</v>
      </c>
      <c r="C1015" s="48" t="str">
        <f>HYPERLINK("https://uscode.house.gov/statutes/pl/115/385.pdf", "P.L. 115-385")</f>
        <v>P.L. 115-385</v>
      </c>
      <c r="D1015" s="3" t="s">
        <v>2420</v>
      </c>
      <c r="E1015" s="3" t="s">
        <v>2423</v>
      </c>
      <c r="F1015" s="3" t="s">
        <v>2424</v>
      </c>
      <c r="G1015" s="48" t="str">
        <f>HYPERLINK("https://uscode.house.gov/view.xhtml?req=granuleid:USC-prelim-title34-section11280&amp;num=0&amp;edition=prelim", "34 U.S.C. 11280(a)(1)")</f>
        <v>34 U.S.C. 11280(a)(1)</v>
      </c>
      <c r="H1015" s="46">
        <v>44104</v>
      </c>
      <c r="I1015" s="13">
        <v>2020</v>
      </c>
      <c r="J1015" s="47">
        <v>127421000</v>
      </c>
      <c r="K1015" s="16" t="s">
        <v>62</v>
      </c>
      <c r="L1015" s="3" t="s">
        <v>130</v>
      </c>
      <c r="M1015" s="3" t="s">
        <v>42</v>
      </c>
      <c r="N1015" s="3" t="s">
        <v>43</v>
      </c>
    </row>
    <row r="1016" spans="1:14" x14ac:dyDescent="0.3">
      <c r="A1016" s="36" t="s">
        <v>37</v>
      </c>
      <c r="B1016" s="13">
        <v>115</v>
      </c>
      <c r="C1016" s="48" t="str">
        <f>HYPERLINK("https://uscode.house.gov/statutes/pl/115/385.pdf", "P.L. 115-385")</f>
        <v>P.L. 115-385</v>
      </c>
      <c r="D1016" s="3" t="s">
        <v>2420</v>
      </c>
      <c r="E1016" s="3" t="s">
        <v>2425</v>
      </c>
      <c r="F1016" s="3" t="s">
        <v>2426</v>
      </c>
      <c r="G1016" s="48" t="str">
        <f>HYPERLINK("https://uscode.house.gov/view.xhtml?req=granuleid:USC-prelim-title34-section11280&amp;num=0&amp;edition=prelim", "34 U.S.C. 11280(a)(4)")</f>
        <v>34 U.S.C. 11280(a)(4)</v>
      </c>
      <c r="H1016" s="46">
        <v>44104</v>
      </c>
      <c r="I1016" s="13">
        <v>2020</v>
      </c>
      <c r="J1016" s="47">
        <v>25000000</v>
      </c>
      <c r="K1016" s="16" t="s">
        <v>62</v>
      </c>
      <c r="L1016" s="3" t="s">
        <v>130</v>
      </c>
      <c r="M1016" s="3" t="s">
        <v>42</v>
      </c>
      <c r="N1016" s="3" t="s">
        <v>43</v>
      </c>
    </row>
    <row r="1017" spans="1:14" x14ac:dyDescent="0.3">
      <c r="A1017" s="36" t="s">
        <v>37</v>
      </c>
      <c r="B1017" s="13">
        <v>115</v>
      </c>
      <c r="C1017" s="48" t="str">
        <f>HYPERLINK("https://uscode.house.gov/statutes/pl/115/385.pdf", "P.L. 115-385")</f>
        <v>P.L. 115-385</v>
      </c>
      <c r="D1017" s="3" t="s">
        <v>2420</v>
      </c>
      <c r="E1017" s="3" t="s">
        <v>180</v>
      </c>
      <c r="F1017" s="3" t="s">
        <v>2427</v>
      </c>
      <c r="G1017" s="48" t="str">
        <f>HYPERLINK("https://uscode.house.gov/view.xhtml?req=granuleid:USC-prelim-title34-section11280&amp;num=0&amp;edition=prelim", "34 U.S.C. 11280")</f>
        <v>34 U.S.C. 11280</v>
      </c>
      <c r="H1017" s="46">
        <v>44104</v>
      </c>
      <c r="I1017" s="13">
        <v>2020</v>
      </c>
      <c r="J1017" s="47">
        <v>127421000</v>
      </c>
      <c r="K1017" s="47">
        <v>125283000</v>
      </c>
      <c r="L1017" s="3" t="s">
        <v>130</v>
      </c>
      <c r="M1017" s="3" t="s">
        <v>71</v>
      </c>
      <c r="N1017" s="3" t="s">
        <v>72</v>
      </c>
    </row>
    <row r="1018" spans="1:14" x14ac:dyDescent="0.3">
      <c r="A1018" s="36" t="s">
        <v>37</v>
      </c>
      <c r="B1018" s="13">
        <v>115</v>
      </c>
      <c r="C1018" s="48" t="str">
        <f>HYPERLINK("https://uscode.house.gov/statutes/pl/115/44.pdf", "P.L. 115-44")</f>
        <v>P.L. 115-44</v>
      </c>
      <c r="D1018" s="3" t="s">
        <v>1947</v>
      </c>
      <c r="E1018" s="3" t="s">
        <v>1948</v>
      </c>
      <c r="F1018" s="3" t="s">
        <v>1949</v>
      </c>
      <c r="G1018" s="49"/>
      <c r="H1018" s="46">
        <v>43738</v>
      </c>
      <c r="I1018" s="13">
        <v>2019</v>
      </c>
      <c r="J1018" s="47">
        <v>30000000</v>
      </c>
      <c r="K1018" s="16" t="s">
        <v>62</v>
      </c>
      <c r="L1018" s="3" t="s">
        <v>80</v>
      </c>
      <c r="M1018" s="3" t="s">
        <v>81</v>
      </c>
      <c r="N1018" s="3" t="s">
        <v>82</v>
      </c>
    </row>
    <row r="1019" spans="1:14" x14ac:dyDescent="0.3">
      <c r="A1019" s="36" t="s">
        <v>37</v>
      </c>
      <c r="B1019" s="13">
        <v>115</v>
      </c>
      <c r="C1019" s="48" t="str">
        <f>HYPERLINK("https://uscode.house.gov/statutes/pl/115/44.pdf", "P.L. 115-44")</f>
        <v>P.L. 115-44</v>
      </c>
      <c r="D1019" s="3" t="s">
        <v>1947</v>
      </c>
      <c r="F1019" s="3" t="s">
        <v>1950</v>
      </c>
      <c r="G1019" s="48" t="str">
        <f>HYPERLINK("https://uscode.house.gov/view.xhtml?req=granuleid:USC-prelim-title42-section300d-71&amp;num=0&amp;edition=prelim", "42 U.S.C. 300d-71(b)")</f>
        <v>42 U.S.C. 300d-71(b)</v>
      </c>
      <c r="H1019" s="46">
        <v>45565</v>
      </c>
      <c r="I1019" s="13">
        <v>2024</v>
      </c>
      <c r="J1019" s="47">
        <v>700000</v>
      </c>
      <c r="K1019" s="16" t="s">
        <v>62</v>
      </c>
      <c r="L1019" s="3" t="s">
        <v>60</v>
      </c>
      <c r="M1019" s="3" t="s">
        <v>71</v>
      </c>
      <c r="N1019" s="3" t="s">
        <v>72</v>
      </c>
    </row>
    <row r="1020" spans="1:14" x14ac:dyDescent="0.3">
      <c r="A1020" s="36" t="s">
        <v>37</v>
      </c>
      <c r="B1020" s="13">
        <v>115</v>
      </c>
      <c r="C1020" s="48" t="str">
        <f>HYPERLINK("https://uscode.house.gov/statutes/pl/115/44.pdf", "P.L. 115-44")</f>
        <v>P.L. 115-44</v>
      </c>
      <c r="D1020" s="3" t="s">
        <v>1947</v>
      </c>
      <c r="E1020" s="3" t="s">
        <v>1951</v>
      </c>
      <c r="F1020" s="3" t="s">
        <v>1952</v>
      </c>
      <c r="G1020" s="49"/>
      <c r="H1020" s="46">
        <v>45199</v>
      </c>
      <c r="I1020" s="13">
        <v>2023</v>
      </c>
      <c r="J1020" s="47">
        <v>250000000</v>
      </c>
      <c r="K1020" s="16" t="s">
        <v>62</v>
      </c>
      <c r="L1020" s="3" t="s">
        <v>80</v>
      </c>
      <c r="M1020" s="3" t="s">
        <v>81</v>
      </c>
      <c r="N1020" s="3" t="s">
        <v>82</v>
      </c>
    </row>
    <row r="1021" spans="1:14" x14ac:dyDescent="0.3">
      <c r="A1021" s="36" t="s">
        <v>37</v>
      </c>
      <c r="B1021" s="13">
        <v>115</v>
      </c>
      <c r="C1021" s="48" t="str">
        <f>HYPERLINK("https://uscode.house.gov/statutes/pl/115/48.pdf", "P.L. 115-48")</f>
        <v>P.L. 115-48</v>
      </c>
      <c r="D1021" s="3" t="s">
        <v>1953</v>
      </c>
      <c r="F1021" s="3" t="s">
        <v>1954</v>
      </c>
      <c r="G1021" s="49"/>
      <c r="H1021" s="46">
        <v>43738</v>
      </c>
      <c r="I1021" s="13">
        <v>2019</v>
      </c>
      <c r="J1021" s="47">
        <v>30000000</v>
      </c>
      <c r="K1021" s="16" t="s">
        <v>62</v>
      </c>
      <c r="L1021" s="3" t="s">
        <v>265</v>
      </c>
      <c r="M1021" s="3" t="s">
        <v>266</v>
      </c>
      <c r="N1021" s="3" t="s">
        <v>267</v>
      </c>
    </row>
    <row r="1022" spans="1:14" x14ac:dyDescent="0.3">
      <c r="A1022" s="36" t="s">
        <v>37</v>
      </c>
      <c r="B1022" s="13">
        <v>115</v>
      </c>
      <c r="C1022" s="48" t="str">
        <f>HYPERLINK("https://uscode.house.gov/statutes/pl/115/71.pdf", "P.L. 115-71")</f>
        <v>P.L. 115-71</v>
      </c>
      <c r="D1022" s="3" t="s">
        <v>1955</v>
      </c>
      <c r="E1022" s="3" t="s">
        <v>222</v>
      </c>
      <c r="F1022" s="3" t="s">
        <v>1956</v>
      </c>
      <c r="G1022" s="48" t="str">
        <f>HYPERLINK("https://uscode.house.gov/view.xhtml?req=granuleid:USC-prelim-title42-section280g-1&amp;num=0&amp;edition=prelim", "42 U.S.C. 280g-1(f)(2)")</f>
        <v>42 U.S.C. 280g-1(f)(2)</v>
      </c>
      <c r="H1022" s="46">
        <v>42277</v>
      </c>
      <c r="I1022" s="13">
        <v>2015</v>
      </c>
      <c r="J1022" s="16" t="s">
        <v>12</v>
      </c>
      <c r="K1022" s="16" t="s">
        <v>62</v>
      </c>
      <c r="L1022" s="3" t="s">
        <v>60</v>
      </c>
      <c r="M1022" s="3" t="s">
        <v>71</v>
      </c>
      <c r="N1022" s="3" t="s">
        <v>72</v>
      </c>
    </row>
    <row r="1023" spans="1:14" x14ac:dyDescent="0.3">
      <c r="A1023" s="36" t="s">
        <v>37</v>
      </c>
      <c r="B1023" s="13">
        <v>115</v>
      </c>
      <c r="C1023" s="48" t="str">
        <f>HYPERLINK("https://uscode.house.gov/statutes/pl/115/76.pdf", "P.L. 115-76")</f>
        <v>P.L. 115-76</v>
      </c>
      <c r="D1023" s="3" t="s">
        <v>1957</v>
      </c>
      <c r="E1023" s="3" t="s">
        <v>1958</v>
      </c>
      <c r="F1023" s="3" t="s">
        <v>1959</v>
      </c>
      <c r="G1023" s="48" t="str">
        <f>HYPERLINK("https://uscode.house.gov/view.xhtml?req=granuleid:USC-prelim-title34-section10101&amp;num=0&amp;edition=prelim", "34 U.S.C. 10101(et seq.)")</f>
        <v>34 U.S.C. 10101(et seq.)</v>
      </c>
      <c r="H1023" s="46">
        <v>44834</v>
      </c>
      <c r="I1023" s="13">
        <v>2022</v>
      </c>
      <c r="J1023" s="47">
        <v>13000000</v>
      </c>
      <c r="K1023" s="47">
        <v>13000000</v>
      </c>
      <c r="L1023" s="3" t="s">
        <v>41</v>
      </c>
      <c r="M1023" s="3" t="s">
        <v>42</v>
      </c>
      <c r="N1023" s="3" t="s">
        <v>43</v>
      </c>
    </row>
    <row r="1024" spans="1:14" x14ac:dyDescent="0.3">
      <c r="A1024" s="36" t="s">
        <v>37</v>
      </c>
      <c r="B1024" s="13">
        <v>115</v>
      </c>
      <c r="C1024" s="48" t="str">
        <f>HYPERLINK("https://uscode.house.gov/statutes/pl/115/76.pdf", "P.L. 115-76")</f>
        <v>P.L. 115-76</v>
      </c>
      <c r="D1024" s="3" t="s">
        <v>1957</v>
      </c>
      <c r="E1024" s="3" t="s">
        <v>1960</v>
      </c>
      <c r="F1024" s="3" t="s">
        <v>1961</v>
      </c>
      <c r="G1024" s="48" t="str">
        <f>HYPERLINK("https://uscode.house.gov/view.xhtml?req=granuleid:USC-prelim-title34-section30103&amp;num=0&amp;edition=prelim", "34 U.S.C. 30103(b)")</f>
        <v>34 U.S.C. 30103(b)</v>
      </c>
      <c r="H1024" s="46">
        <v>44834</v>
      </c>
      <c r="I1024" s="13">
        <v>2022</v>
      </c>
      <c r="J1024" s="47">
        <v>13000000</v>
      </c>
      <c r="K1024" s="47">
        <v>2500000</v>
      </c>
      <c r="L1024" s="3" t="s">
        <v>41</v>
      </c>
      <c r="M1024" s="3" t="s">
        <v>42</v>
      </c>
      <c r="N1024" s="3" t="s">
        <v>43</v>
      </c>
    </row>
    <row r="1025" spans="1:14" x14ac:dyDescent="0.3">
      <c r="A1025" s="36" t="s">
        <v>37</v>
      </c>
      <c r="B1025" s="13">
        <v>115</v>
      </c>
      <c r="C1025" s="48" t="str">
        <f>HYPERLINK("https://uscode.house.gov/statutes/pl/115/91.pdf", "P.L. 115-91")</f>
        <v>P.L. 115-91</v>
      </c>
      <c r="D1025" s="3" t="s">
        <v>1962</v>
      </c>
      <c r="E1025" s="3" t="s">
        <v>1963</v>
      </c>
      <c r="F1025" s="3" t="s">
        <v>1964</v>
      </c>
      <c r="G1025" s="48" t="str">
        <f>HYPERLINK("https://uscode.house.gov/view.xhtml?req=granuleid:USC-prelim-title5-section5512&amp;num=0&amp;edition=prelim", "5 U.S.C. 5512(note)")</f>
        <v>5 U.S.C. 5512(note)</v>
      </c>
      <c r="H1025" s="46">
        <v>45199</v>
      </c>
      <c r="I1025" s="13">
        <v>2023</v>
      </c>
      <c r="J1025" s="16" t="s">
        <v>12</v>
      </c>
      <c r="K1025" s="16" t="s">
        <v>62</v>
      </c>
      <c r="L1025" s="3" t="s">
        <v>229</v>
      </c>
      <c r="M1025" s="3" t="s">
        <v>230</v>
      </c>
      <c r="N1025" s="3" t="s">
        <v>55</v>
      </c>
    </row>
    <row r="1026" spans="1:14" x14ac:dyDescent="0.3">
      <c r="A1026" s="36" t="s">
        <v>37</v>
      </c>
      <c r="B1026" s="13">
        <v>115</v>
      </c>
      <c r="C1026" s="48" t="str">
        <f>HYPERLINK("https://uscode.house.gov/statutes/pl/115/98.pdf", "P.L. 115-98")</f>
        <v>P.L. 115-98</v>
      </c>
      <c r="D1026" s="3" t="s">
        <v>1965</v>
      </c>
      <c r="E1026" s="3" t="s">
        <v>1840</v>
      </c>
      <c r="F1026" s="3" t="s">
        <v>1966</v>
      </c>
      <c r="G1026" s="48" t="str">
        <f>HYPERLINK("https://uscode.house.gov/view.xhtml?req=granuleid:USC-prelim-title15-section2229&amp;num=0&amp;edition=prelim", "15 U.S.C. 2229(q)(1)")</f>
        <v>15 U.S.C. 2229(q)(1)</v>
      </c>
      <c r="H1026" s="46">
        <v>45199</v>
      </c>
      <c r="I1026" s="13">
        <v>2023</v>
      </c>
      <c r="J1026" s="16" t="s">
        <v>12</v>
      </c>
      <c r="K1026" s="16" t="s">
        <v>62</v>
      </c>
      <c r="L1026" s="3" t="s">
        <v>135</v>
      </c>
      <c r="M1026" s="3" t="s">
        <v>230</v>
      </c>
      <c r="N1026" s="3" t="s">
        <v>122</v>
      </c>
    </row>
    <row r="1027" spans="1:14" x14ac:dyDescent="0.3">
      <c r="A1027" s="36" t="s">
        <v>37</v>
      </c>
      <c r="B1027" s="13">
        <v>115</v>
      </c>
      <c r="C1027" s="48" t="str">
        <f>HYPERLINK("https://uscode.house.gov/statutes/pl/115/98.pdf", "P.L. 115-98")</f>
        <v>P.L. 115-98</v>
      </c>
      <c r="D1027" s="3" t="s">
        <v>1965</v>
      </c>
      <c r="E1027" s="3" t="s">
        <v>514</v>
      </c>
      <c r="F1027" s="3" t="s">
        <v>1967</v>
      </c>
      <c r="G1027" s="48" t="str">
        <f>HYPERLINK("https://uscode.house.gov/view.xhtml?req=granuleid:USC-prelim-title15-section2229a&amp;num=0&amp;edition=prelim", "15 U.S.C. 2229a(j)(1)")</f>
        <v>15 U.S.C. 2229a(j)(1)</v>
      </c>
      <c r="H1027" s="46">
        <v>45199</v>
      </c>
      <c r="I1027" s="13">
        <v>2023</v>
      </c>
      <c r="J1027" s="16" t="s">
        <v>12</v>
      </c>
      <c r="K1027" s="16" t="s">
        <v>62</v>
      </c>
      <c r="L1027" s="3" t="s">
        <v>135</v>
      </c>
      <c r="M1027" s="3" t="s">
        <v>230</v>
      </c>
      <c r="N1027" s="3" t="s">
        <v>122</v>
      </c>
    </row>
    <row r="1028" spans="1:14" x14ac:dyDescent="0.3">
      <c r="A1028" s="36" t="s">
        <v>37</v>
      </c>
      <c r="B1028" s="13">
        <v>115</v>
      </c>
      <c r="C1028" s="48" t="str">
        <f>HYPERLINK("https://uscode.house.gov/statutes/pl/115/98.pdf", "P.L. 115-98")</f>
        <v>P.L. 115-98</v>
      </c>
      <c r="D1028" s="3" t="s">
        <v>1965</v>
      </c>
      <c r="E1028" s="3" t="s">
        <v>222</v>
      </c>
      <c r="F1028" s="3" t="s">
        <v>1968</v>
      </c>
      <c r="G1028" s="48" t="str">
        <f>HYPERLINK("https://uscode.house.gov/view.xhtml?req=granuleid:USC-prelim-title15-section2216&amp;num=0&amp;edition=prelim", "15 U.S.C. 2216(g)(1)")</f>
        <v>15 U.S.C. 2216(g)(1)</v>
      </c>
      <c r="H1028" s="46">
        <v>45199</v>
      </c>
      <c r="I1028" s="13">
        <v>2023</v>
      </c>
      <c r="J1028" s="47">
        <v>76491000</v>
      </c>
      <c r="K1028" s="16" t="s">
        <v>62</v>
      </c>
      <c r="L1028" s="3" t="s">
        <v>135</v>
      </c>
      <c r="M1028" s="3" t="s">
        <v>230</v>
      </c>
      <c r="N1028" s="3" t="s">
        <v>122</v>
      </c>
    </row>
    <row r="1029" spans="1:14" x14ac:dyDescent="0.3">
      <c r="A1029" s="36" t="s">
        <v>37</v>
      </c>
      <c r="B1029" s="13">
        <v>115</v>
      </c>
      <c r="C1029" s="48" t="str">
        <f>HYPERLINK("https://uscode.house.gov/statutes/pl/115/123.pdf", "P.L. 115-123")</f>
        <v>P.L. 115-123</v>
      </c>
      <c r="D1029" s="3" t="s">
        <v>1969</v>
      </c>
      <c r="E1029" s="3" t="s">
        <v>171</v>
      </c>
      <c r="F1029" s="3" t="s">
        <v>1970</v>
      </c>
      <c r="G1029" s="48" t="str">
        <f>HYPERLINK("https://uscode.house.gov/view.xhtml?req=granuleid:USC-prelim-title42-section673b&amp;num=0&amp;edition=prelim", "42 U.S.C. 673b(h)(d)")</f>
        <v>42 U.S.C. 673b(h)(d)</v>
      </c>
      <c r="H1029" s="46">
        <v>44469</v>
      </c>
      <c r="I1029" s="13">
        <v>2021</v>
      </c>
      <c r="J1029" s="47">
        <v>43000000</v>
      </c>
      <c r="K1029" s="47">
        <v>75000000</v>
      </c>
      <c r="L1029" s="3" t="s">
        <v>292</v>
      </c>
      <c r="M1029" s="3" t="s">
        <v>418</v>
      </c>
      <c r="N1029" s="3" t="s">
        <v>72</v>
      </c>
    </row>
    <row r="1030" spans="1:14" x14ac:dyDescent="0.3">
      <c r="A1030" s="36" t="s">
        <v>37</v>
      </c>
      <c r="B1030" s="13">
        <v>115</v>
      </c>
      <c r="C1030" s="48" t="str">
        <f t="shared" ref="C1030:C1038" si="38">HYPERLINK("https://uscode.house.gov/statutes/pl/115/141.pdf", "P.L. 115-141")</f>
        <v>P.L. 115-141</v>
      </c>
      <c r="D1030" s="3" t="s">
        <v>1971</v>
      </c>
      <c r="E1030" s="3" t="s">
        <v>1972</v>
      </c>
      <c r="F1030" s="3" t="s">
        <v>1973</v>
      </c>
      <c r="G1030" s="48" t="str">
        <f>HYPERLINK("https://uscode.house.gov/view.xhtml?req=granuleid:USC-prelim-title42-section9604&amp;num=0&amp;edition=prelim", "42 U.S.C. 9604(k)")</f>
        <v>42 U.S.C. 9604(k)</v>
      </c>
      <c r="H1030" s="46">
        <v>45199</v>
      </c>
      <c r="I1030" s="13">
        <v>2023</v>
      </c>
      <c r="J1030" s="47">
        <v>200000000</v>
      </c>
      <c r="K1030" s="16" t="s">
        <v>62</v>
      </c>
      <c r="L1030" s="3" t="s">
        <v>47</v>
      </c>
      <c r="M1030" s="3" t="s">
        <v>48</v>
      </c>
      <c r="N1030" s="3" t="s">
        <v>49</v>
      </c>
    </row>
    <row r="1031" spans="1:14" x14ac:dyDescent="0.3">
      <c r="A1031" s="36" t="s">
        <v>37</v>
      </c>
      <c r="B1031" s="13">
        <v>115</v>
      </c>
      <c r="C1031" s="48" t="str">
        <f t="shared" si="38"/>
        <v>P.L. 115-141</v>
      </c>
      <c r="D1031" s="3" t="s">
        <v>1971</v>
      </c>
      <c r="F1031" s="3" t="s">
        <v>1974</v>
      </c>
      <c r="G1031" s="49"/>
      <c r="H1031" s="46">
        <v>45199</v>
      </c>
      <c r="I1031" s="13">
        <v>2023</v>
      </c>
      <c r="J1031" s="47">
        <v>50000000</v>
      </c>
      <c r="K1031" s="16" t="s">
        <v>62</v>
      </c>
      <c r="L1031" s="3" t="s">
        <v>47</v>
      </c>
      <c r="M1031" s="3" t="s">
        <v>48</v>
      </c>
      <c r="N1031" s="3" t="s">
        <v>49</v>
      </c>
    </row>
    <row r="1032" spans="1:14" x14ac:dyDescent="0.3">
      <c r="A1032" s="36" t="s">
        <v>37</v>
      </c>
      <c r="B1032" s="13">
        <v>115</v>
      </c>
      <c r="C1032" s="48" t="str">
        <f t="shared" si="38"/>
        <v>P.L. 115-141</v>
      </c>
      <c r="D1032" s="3" t="s">
        <v>1971</v>
      </c>
      <c r="E1032" s="3" t="s">
        <v>1975</v>
      </c>
      <c r="F1032" s="3" t="s">
        <v>1976</v>
      </c>
      <c r="G1032" s="49"/>
      <c r="H1032" s="46">
        <v>44469</v>
      </c>
      <c r="I1032" s="13">
        <v>2021</v>
      </c>
      <c r="J1032" s="47">
        <v>10000000</v>
      </c>
      <c r="K1032" s="47">
        <v>10000000</v>
      </c>
      <c r="L1032" s="3" t="s">
        <v>47</v>
      </c>
      <c r="M1032" s="3" t="s">
        <v>48</v>
      </c>
      <c r="N1032" s="3" t="s">
        <v>49</v>
      </c>
    </row>
    <row r="1033" spans="1:14" x14ac:dyDescent="0.3">
      <c r="A1033" s="36" t="s">
        <v>37</v>
      </c>
      <c r="B1033" s="13">
        <v>115</v>
      </c>
      <c r="C1033" s="48" t="str">
        <f t="shared" si="38"/>
        <v>P.L. 115-141</v>
      </c>
      <c r="D1033" s="3" t="s">
        <v>1971</v>
      </c>
      <c r="E1033" s="3" t="s">
        <v>1977</v>
      </c>
      <c r="F1033" s="3" t="s">
        <v>1978</v>
      </c>
      <c r="G1033" s="48" t="str">
        <f>HYPERLINK("https://uscode.house.gov/view.xhtml?req=granuleid:USC-prelim-title47-section156&amp;num=0&amp;edition=prelim", "47 U.S.C. 156")</f>
        <v>47 U.S.C. 156</v>
      </c>
      <c r="H1033" s="46">
        <v>44104</v>
      </c>
      <c r="I1033" s="13">
        <v>2020</v>
      </c>
      <c r="J1033" s="47">
        <v>339610000</v>
      </c>
      <c r="K1033" s="47">
        <v>390192000</v>
      </c>
      <c r="L1033" s="3" t="s">
        <v>60</v>
      </c>
      <c r="M1033" s="3" t="s">
        <v>148</v>
      </c>
      <c r="N1033" s="3" t="s">
        <v>55</v>
      </c>
    </row>
    <row r="1034" spans="1:14" x14ac:dyDescent="0.3">
      <c r="A1034" s="36" t="s">
        <v>37</v>
      </c>
      <c r="B1034" s="13">
        <v>115</v>
      </c>
      <c r="C1034" s="48" t="str">
        <f t="shared" si="38"/>
        <v>P.L. 115-141</v>
      </c>
      <c r="D1034" s="3" t="s">
        <v>1971</v>
      </c>
      <c r="E1034" s="3" t="s">
        <v>1979</v>
      </c>
      <c r="F1034" s="3" t="s">
        <v>1980</v>
      </c>
      <c r="G1034" s="48" t="str">
        <f>HYPERLINK("https://uscode.house.gov/view.xhtml?req=granuleid:USC-prelim-title34-section10555&amp;num=0&amp;edition=prelim", "34 U.S.C. 10555")</f>
        <v>34 U.S.C. 10555</v>
      </c>
      <c r="H1034" s="46">
        <v>47026</v>
      </c>
      <c r="I1034" s="13">
        <v>2028</v>
      </c>
      <c r="J1034" s="47">
        <v>100000000</v>
      </c>
      <c r="K1034" s="16" t="s">
        <v>62</v>
      </c>
      <c r="L1034" s="3" t="s">
        <v>41</v>
      </c>
      <c r="M1034" s="3" t="s">
        <v>42</v>
      </c>
      <c r="N1034" s="3" t="s">
        <v>43</v>
      </c>
    </row>
    <row r="1035" spans="1:14" x14ac:dyDescent="0.3">
      <c r="A1035" s="36" t="s">
        <v>37</v>
      </c>
      <c r="B1035" s="13">
        <v>115</v>
      </c>
      <c r="C1035" s="48" t="str">
        <f t="shared" si="38"/>
        <v>P.L. 115-141</v>
      </c>
      <c r="D1035" s="3" t="s">
        <v>1971</v>
      </c>
      <c r="E1035" s="3" t="s">
        <v>1981</v>
      </c>
      <c r="F1035" s="3" t="s">
        <v>1982</v>
      </c>
      <c r="G1035" s="48" t="str">
        <f>HYPERLINK("https://uscode.house.gov/view.xhtml?req=granuleid:USC-prelim-title36-section220531&amp;num=0&amp;edition=prelim", "36 U.S.C. 220531")</f>
        <v>36 U.S.C. 220531</v>
      </c>
      <c r="H1035" s="46">
        <v>44104</v>
      </c>
      <c r="I1035" s="13">
        <v>2020</v>
      </c>
      <c r="J1035" s="47">
        <v>2500000</v>
      </c>
      <c r="K1035" s="47">
        <v>2500000</v>
      </c>
      <c r="L1035" s="3" t="s">
        <v>41</v>
      </c>
      <c r="M1035" s="3" t="s">
        <v>42</v>
      </c>
      <c r="N1035" s="3" t="s">
        <v>43</v>
      </c>
    </row>
    <row r="1036" spans="1:14" x14ac:dyDescent="0.3">
      <c r="A1036" s="36" t="s">
        <v>37</v>
      </c>
      <c r="B1036" s="13">
        <v>115</v>
      </c>
      <c r="C1036" s="48" t="str">
        <f t="shared" si="38"/>
        <v>P.L. 115-141</v>
      </c>
      <c r="D1036" s="3" t="s">
        <v>1971</v>
      </c>
      <c r="E1036" s="3" t="s">
        <v>1983</v>
      </c>
      <c r="F1036" s="3" t="s">
        <v>1984</v>
      </c>
      <c r="G1036" s="48" t="str">
        <f>HYPERLINK("https://uscode.house.gov/view.xhtml?req=granuleid:USC-prelim-title34-section40301&amp;num=0&amp;edition=prelim", "34 U.S.C. 40301(e)(1)")</f>
        <v>34 U.S.C. 40301(e)(1)</v>
      </c>
      <c r="H1036" s="46">
        <v>44834</v>
      </c>
      <c r="I1036" s="13">
        <v>2022</v>
      </c>
      <c r="J1036" s="47">
        <v>250000000</v>
      </c>
      <c r="K1036" s="47">
        <v>95000000</v>
      </c>
      <c r="L1036" s="3" t="s">
        <v>41</v>
      </c>
      <c r="M1036" s="3" t="s">
        <v>42</v>
      </c>
      <c r="N1036" s="3" t="s">
        <v>43</v>
      </c>
    </row>
    <row r="1037" spans="1:14" x14ac:dyDescent="0.3">
      <c r="A1037" s="36" t="s">
        <v>37</v>
      </c>
      <c r="B1037" s="13">
        <v>115</v>
      </c>
      <c r="C1037" s="48" t="str">
        <f t="shared" si="38"/>
        <v>P.L. 115-141</v>
      </c>
      <c r="D1037" s="3" t="s">
        <v>1971</v>
      </c>
      <c r="E1037" s="3" t="s">
        <v>1985</v>
      </c>
      <c r="F1037" s="3" t="s">
        <v>1986</v>
      </c>
      <c r="G1037" s="48" t="str">
        <f>HYPERLINK("https://uscode.house.gov/view.xhtml?req=granuleid:USC-prelim-title34-section40913&amp;num=0&amp;edition=prelim", "34 U.S.C. 40913(e)(1)")</f>
        <v>34 U.S.C. 40913(e)(1)</v>
      </c>
      <c r="H1037" s="46">
        <v>44834</v>
      </c>
      <c r="I1037" s="13">
        <v>2022</v>
      </c>
      <c r="J1037" s="47">
        <v>125000000</v>
      </c>
      <c r="K1037" s="47">
        <v>135000000</v>
      </c>
      <c r="L1037" s="3" t="s">
        <v>41</v>
      </c>
      <c r="M1037" s="3" t="s">
        <v>42</v>
      </c>
      <c r="N1037" s="3" t="s">
        <v>43</v>
      </c>
    </row>
    <row r="1038" spans="1:14" x14ac:dyDescent="0.3">
      <c r="A1038" s="36" t="s">
        <v>37</v>
      </c>
      <c r="B1038" s="13">
        <v>115</v>
      </c>
      <c r="C1038" s="48" t="str">
        <f t="shared" si="38"/>
        <v>P.L. 115-141</v>
      </c>
      <c r="D1038" s="3" t="s">
        <v>1971</v>
      </c>
      <c r="E1038" s="3" t="s">
        <v>1987</v>
      </c>
      <c r="F1038" s="3" t="s">
        <v>1988</v>
      </c>
      <c r="G1038" s="48" t="str">
        <f>HYPERLINK("https://uscode.house.gov/view.xhtml?req=granuleid:USC-prelim-title34-section12621&amp;num=0&amp;edition=prelim", "34 U.S.C. 12621(d)")</f>
        <v>34 U.S.C. 12621(d)</v>
      </c>
      <c r="H1038" s="46">
        <v>44834</v>
      </c>
      <c r="I1038" s="13">
        <v>2022</v>
      </c>
      <c r="J1038" s="47">
        <v>2000000</v>
      </c>
      <c r="K1038" s="47">
        <v>3000000</v>
      </c>
      <c r="L1038" s="3" t="s">
        <v>41</v>
      </c>
      <c r="M1038" s="3" t="s">
        <v>42</v>
      </c>
      <c r="N1038" s="3" t="s">
        <v>43</v>
      </c>
    </row>
    <row r="1039" spans="1:14" x14ac:dyDescent="0.3">
      <c r="A1039" s="36" t="s">
        <v>37</v>
      </c>
      <c r="B1039" s="13">
        <v>115</v>
      </c>
      <c r="C1039" s="48" t="str">
        <f>HYPERLINK("https://uscode.house.gov/statutes/pl/115/166.pdf", "P.L. 115-166")</f>
        <v>P.L. 115-166</v>
      </c>
      <c r="D1039" s="3" t="s">
        <v>1989</v>
      </c>
      <c r="F1039" s="3" t="s">
        <v>1990</v>
      </c>
      <c r="G1039" s="48" t="str">
        <f>HYPERLINK("https://uscode.house.gov/view.xhtml?req=granuleid:USC-prelim-title34-section20504&amp;num=0&amp;edition=prelim", "34 U.S.C. 20504(g)")</f>
        <v>34 U.S.C. 20504(g)</v>
      </c>
      <c r="H1039" s="46">
        <v>43738</v>
      </c>
      <c r="I1039" s="13">
        <v>2019</v>
      </c>
      <c r="J1039" s="47">
        <v>10000000</v>
      </c>
      <c r="K1039" s="47">
        <v>1000000</v>
      </c>
      <c r="L1039" s="3" t="s">
        <v>41</v>
      </c>
      <c r="M1039" s="3" t="s">
        <v>42</v>
      </c>
      <c r="N1039" s="3" t="s">
        <v>43</v>
      </c>
    </row>
    <row r="1040" spans="1:14" x14ac:dyDescent="0.3">
      <c r="A1040" s="36" t="s">
        <v>37</v>
      </c>
      <c r="B1040" s="13">
        <v>115</v>
      </c>
      <c r="C1040" s="48" t="str">
        <f>HYPERLINK("https://uscode.house.gov/statutes/pl/115/168.pdf", "P.L. 115-168")</f>
        <v>P.L. 115-168</v>
      </c>
      <c r="D1040" s="3" t="s">
        <v>1991</v>
      </c>
      <c r="E1040" s="3" t="s">
        <v>222</v>
      </c>
      <c r="F1040" s="3" t="s">
        <v>1992</v>
      </c>
      <c r="G1040" s="48" t="str">
        <f>HYPERLINK("https://uscode.house.gov/view.xhtml?req=granuleid:USC-prelim-title16-section742f&amp;num=0&amp;edition=prelim", "16 U.S.C. 742f(g)")</f>
        <v>16 U.S.C. 742f(g)</v>
      </c>
      <c r="H1040" s="46">
        <v>44834</v>
      </c>
      <c r="I1040" s="13">
        <v>2022</v>
      </c>
      <c r="J1040" s="47">
        <v>2000000</v>
      </c>
      <c r="K1040" s="16" t="s">
        <v>62</v>
      </c>
      <c r="L1040" s="3" t="s">
        <v>47</v>
      </c>
      <c r="M1040" s="3" t="s">
        <v>67</v>
      </c>
      <c r="N1040" s="3" t="s">
        <v>49</v>
      </c>
    </row>
    <row r="1041" spans="1:14" x14ac:dyDescent="0.3">
      <c r="A1041" s="36" t="s">
        <v>37</v>
      </c>
      <c r="B1041" s="13">
        <v>115</v>
      </c>
      <c r="C1041" s="48" t="str">
        <f>HYPERLINK("https://uscode.house.gov/statutes/pl/115/185.pdf", "P.L. 115-185")</f>
        <v>P.L. 115-185</v>
      </c>
      <c r="D1041" s="3" t="s">
        <v>1993</v>
      </c>
      <c r="E1041" s="3" t="s">
        <v>105</v>
      </c>
      <c r="F1041" s="3" t="s">
        <v>1994</v>
      </c>
      <c r="G1041" s="48" t="str">
        <f>HYPERLINK("https://uscode.house.gov/view.xhtml?req=granuleid:USC-prelim-title34-section60705&amp;num=0&amp;edition=prelim", "34 U.S.C. 60705")</f>
        <v>34 U.S.C. 60705</v>
      </c>
      <c r="H1041" s="46">
        <v>44469</v>
      </c>
      <c r="I1041" s="13">
        <v>2021</v>
      </c>
      <c r="J1041" s="47">
        <v>50000000</v>
      </c>
      <c r="K1041" s="47">
        <v>20000000</v>
      </c>
      <c r="L1041" s="3" t="s">
        <v>41</v>
      </c>
      <c r="M1041" s="3" t="s">
        <v>42</v>
      </c>
      <c r="N1041" s="3" t="s">
        <v>43</v>
      </c>
    </row>
    <row r="1042" spans="1:14" x14ac:dyDescent="0.3">
      <c r="A1042" s="36" t="s">
        <v>37</v>
      </c>
      <c r="B1042" s="13">
        <v>115</v>
      </c>
      <c r="C1042" s="48" t="str">
        <f>HYPERLINK("https://uscode.house.gov/statutes/pl/115/194.pdf", "P.L. 115-194")</f>
        <v>P.L. 115-194</v>
      </c>
      <c r="D1042" s="3" t="s">
        <v>1995</v>
      </c>
      <c r="E1042" s="3" t="s">
        <v>222</v>
      </c>
      <c r="F1042" s="3" t="s">
        <v>1996</v>
      </c>
      <c r="G1042" s="48" t="str">
        <f>HYPERLINK("https://uscode.house.gov/view.xhtml?req=granuleid:USC-prelim-title42-section280e-5&amp;num=0&amp;edition=prelim", "42 U.S.C. 280e-5")</f>
        <v>42 U.S.C. 280e-5</v>
      </c>
      <c r="H1042" s="46">
        <v>44834</v>
      </c>
      <c r="I1042" s="13">
        <v>2022</v>
      </c>
      <c r="J1042" s="47">
        <v>2500000</v>
      </c>
      <c r="K1042" s="47">
        <v>5500000</v>
      </c>
      <c r="L1042" s="3" t="s">
        <v>60</v>
      </c>
      <c r="M1042" s="3" t="s">
        <v>71</v>
      </c>
      <c r="N1042" s="3" t="s">
        <v>72</v>
      </c>
    </row>
    <row r="1043" spans="1:14" x14ac:dyDescent="0.3">
      <c r="A1043" s="36" t="s">
        <v>37</v>
      </c>
      <c r="B1043" s="13">
        <v>115</v>
      </c>
      <c r="C1043" s="48" t="str">
        <f>HYPERLINK("https://uscode.house.gov/statutes/pl/115/198.pdf", "P.L. 115-198")</f>
        <v>P.L. 115-198</v>
      </c>
      <c r="D1043" s="3" t="s">
        <v>1997</v>
      </c>
      <c r="E1043" s="3" t="s">
        <v>105</v>
      </c>
      <c r="F1043" s="3" t="s">
        <v>1998</v>
      </c>
      <c r="G1043" s="48" t="str">
        <f>HYPERLINK("https://uscode.house.gov/view.xhtml?req=granuleid:USC-prelim-title22-section7814&amp;num=0&amp;edition=prelim", "22 U.S.C. 7814")</f>
        <v>22 U.S.C. 7814</v>
      </c>
      <c r="H1043" s="46">
        <v>44834</v>
      </c>
      <c r="I1043" s="13">
        <v>2022</v>
      </c>
      <c r="J1043" s="47">
        <v>3000000</v>
      </c>
      <c r="K1043" s="16" t="s">
        <v>62</v>
      </c>
      <c r="L1043" s="3" t="s">
        <v>80</v>
      </c>
      <c r="M1043" s="3" t="s">
        <v>81</v>
      </c>
      <c r="N1043" s="3" t="s">
        <v>82</v>
      </c>
    </row>
    <row r="1044" spans="1:14" x14ac:dyDescent="0.3">
      <c r="A1044" s="36" t="s">
        <v>37</v>
      </c>
      <c r="B1044" s="13">
        <v>115</v>
      </c>
      <c r="C1044" s="48" t="str">
        <f>HYPERLINK("https://uscode.house.gov/statutes/pl/115/198.pdf", "P.L. 115-198")</f>
        <v>P.L. 115-198</v>
      </c>
      <c r="D1044" s="3" t="s">
        <v>1997</v>
      </c>
      <c r="E1044" s="3" t="s">
        <v>207</v>
      </c>
      <c r="F1044" s="3" t="s">
        <v>1999</v>
      </c>
      <c r="G1044" s="48" t="str">
        <f>HYPERLINK("https://uscode.house.gov/view.xhtml?req=granuleid:USC-prelim-title22-section7833&amp;num=0&amp;edition=prelim", "22 U.S.C. 7833")</f>
        <v>22 U.S.C. 7833</v>
      </c>
      <c r="H1044" s="46">
        <v>44834</v>
      </c>
      <c r="I1044" s="13">
        <v>2022</v>
      </c>
      <c r="J1044" s="47">
        <v>5000000</v>
      </c>
      <c r="K1044" s="16" t="s">
        <v>62</v>
      </c>
      <c r="L1044" s="3" t="s">
        <v>80</v>
      </c>
      <c r="M1044" s="3" t="s">
        <v>81</v>
      </c>
      <c r="N1044" s="3" t="s">
        <v>82</v>
      </c>
    </row>
    <row r="1045" spans="1:14" x14ac:dyDescent="0.3">
      <c r="A1045" s="36" t="s">
        <v>37</v>
      </c>
      <c r="B1045" s="13">
        <v>115</v>
      </c>
      <c r="C1045" s="48" t="str">
        <f>HYPERLINK("https://uscode.house.gov/statutes/pl/115/198.pdf", "P.L. 115-198")</f>
        <v>P.L. 115-198</v>
      </c>
      <c r="D1045" s="3" t="s">
        <v>1997</v>
      </c>
      <c r="F1045" s="3" t="s">
        <v>2000</v>
      </c>
      <c r="G1045" s="49"/>
      <c r="H1045" s="46">
        <v>44834</v>
      </c>
      <c r="I1045" s="13">
        <v>2022</v>
      </c>
      <c r="J1045" s="47">
        <v>2000000</v>
      </c>
      <c r="K1045" s="16" t="s">
        <v>62</v>
      </c>
      <c r="L1045" s="3" t="s">
        <v>80</v>
      </c>
      <c r="M1045" s="3" t="s">
        <v>81</v>
      </c>
      <c r="N1045" s="3" t="s">
        <v>82</v>
      </c>
    </row>
    <row r="1046" spans="1:14" x14ac:dyDescent="0.3">
      <c r="A1046" s="36" t="s">
        <v>37</v>
      </c>
      <c r="B1046" s="13">
        <v>115</v>
      </c>
      <c r="C1046" s="48" t="str">
        <f>HYPERLINK("https://uscode.house.gov/statutes/pl/115/385.pdf", "P.L. 115-385")</f>
        <v>P.L. 115-385</v>
      </c>
      <c r="D1046" s="3" t="s">
        <v>2420</v>
      </c>
      <c r="E1046" s="3" t="s">
        <v>2428</v>
      </c>
      <c r="F1046" s="3" t="s">
        <v>2429</v>
      </c>
      <c r="G1046" s="48" t="str">
        <f>HYPERLINK("https://uscode.house.gov/view.xhtml?req=granuleid:USC-prelim-title34-section11280&amp;num=0&amp;edition=prelim", "34 U.S.C. 11280(a)(4)")</f>
        <v>34 U.S.C. 11280(a)(4)</v>
      </c>
      <c r="H1046" s="46">
        <v>44104</v>
      </c>
      <c r="I1046" s="13">
        <v>2020</v>
      </c>
      <c r="J1046" s="47">
        <v>25000000</v>
      </c>
      <c r="K1046" s="47">
        <v>21000000</v>
      </c>
      <c r="L1046" s="3" t="s">
        <v>130</v>
      </c>
      <c r="M1046" s="3" t="s">
        <v>71</v>
      </c>
      <c r="N1046" s="3" t="s">
        <v>72</v>
      </c>
    </row>
    <row r="1047" spans="1:14" x14ac:dyDescent="0.3">
      <c r="A1047" s="36" t="s">
        <v>37</v>
      </c>
      <c r="B1047" s="13">
        <v>115</v>
      </c>
      <c r="C1047" s="48" t="str">
        <f>HYPERLINK("https://uscode.house.gov/statutes/pl/115/31.pdf", "P.L. 115-31")</f>
        <v>P.L. 115-31</v>
      </c>
      <c r="D1047" s="3" t="s">
        <v>1938</v>
      </c>
      <c r="E1047" s="3" t="s">
        <v>1941</v>
      </c>
      <c r="F1047" s="3" t="s">
        <v>1942</v>
      </c>
      <c r="G1047" s="48" t="str">
        <f>HYPERLINK("https://uscode.house.gov/view.xhtml?req=granuleid:USC-prelim-title42-section15001&amp;num=0&amp;edition=prelim", "42 U.S.C. 15001(note)")</f>
        <v>42 U.S.C. 15001(note)</v>
      </c>
      <c r="H1047" s="46">
        <v>44469</v>
      </c>
      <c r="I1047" s="13">
        <v>2021</v>
      </c>
      <c r="J1047" s="16" t="s">
        <v>12</v>
      </c>
      <c r="K1047" s="47">
        <v>36000000</v>
      </c>
      <c r="L1047" s="3" t="s">
        <v>130</v>
      </c>
      <c r="M1047" s="3" t="s">
        <v>71</v>
      </c>
      <c r="N1047" s="3" t="s">
        <v>72</v>
      </c>
    </row>
    <row r="1048" spans="1:14" x14ac:dyDescent="0.3">
      <c r="A1048" s="36" t="s">
        <v>37</v>
      </c>
      <c r="B1048" s="13">
        <v>115</v>
      </c>
      <c r="C1048" s="48" t="str">
        <f>HYPERLINK("https://uscode.house.gov/statutes/pl/115/31.pdf", "P.L. 115-31")</f>
        <v>P.L. 115-31</v>
      </c>
      <c r="D1048" s="3" t="s">
        <v>1938</v>
      </c>
      <c r="E1048" s="3" t="s">
        <v>1943</v>
      </c>
      <c r="F1048" s="3" t="s">
        <v>1944</v>
      </c>
      <c r="G1048" s="48" t="str">
        <f>HYPERLINK("https://uscode.house.gov/view.xhtml?req=granuleid:USC-prelim-title42-section15001&amp;num=0&amp;edition=prelim", "42 U.S.C. 15001(note)")</f>
        <v>42 U.S.C. 15001(note)</v>
      </c>
      <c r="H1048" s="46">
        <v>44469</v>
      </c>
      <c r="I1048" s="13">
        <v>2021</v>
      </c>
      <c r="J1048" s="16" t="s">
        <v>12</v>
      </c>
      <c r="K1048" s="16" t="s">
        <v>62</v>
      </c>
      <c r="L1048" s="3" t="s">
        <v>130</v>
      </c>
      <c r="M1048" s="3" t="s">
        <v>71</v>
      </c>
      <c r="N1048" s="3" t="s">
        <v>82</v>
      </c>
    </row>
    <row r="1049" spans="1:14" x14ac:dyDescent="0.3">
      <c r="A1049" s="36" t="s">
        <v>37</v>
      </c>
      <c r="B1049" s="13">
        <v>115</v>
      </c>
      <c r="C1049" s="48" t="str">
        <f>HYPERLINK("https://uscode.house.gov/statutes/pl/115/232.pdf", "P.L. 115-232")</f>
        <v>P.L. 115-232</v>
      </c>
      <c r="D1049" s="3" t="s">
        <v>2005</v>
      </c>
      <c r="E1049" s="3" t="s">
        <v>2006</v>
      </c>
      <c r="F1049" s="3" t="s">
        <v>2007</v>
      </c>
      <c r="G1049" s="48" t="str">
        <f>HYPERLINK("https://uscode.house.gov/view.xhtml?req=granuleid:USC-prelim-title50-section4565&amp;num=0&amp;edition=prelim", "50 U.S.C. 4565(P)")</f>
        <v>50 U.S.C. 4565(P)</v>
      </c>
      <c r="H1049" s="46">
        <v>45199</v>
      </c>
      <c r="I1049" s="13">
        <v>2023</v>
      </c>
      <c r="J1049" s="47">
        <v>20000000</v>
      </c>
      <c r="K1049" s="16" t="s">
        <v>62</v>
      </c>
      <c r="L1049" s="3" t="s">
        <v>1635</v>
      </c>
      <c r="M1049" s="3" t="s">
        <v>1636</v>
      </c>
      <c r="N1049" s="3" t="s">
        <v>55</v>
      </c>
    </row>
    <row r="1050" spans="1:14" x14ac:dyDescent="0.3">
      <c r="A1050" s="36" t="s">
        <v>37</v>
      </c>
      <c r="B1050" s="13">
        <v>115</v>
      </c>
      <c r="C1050" s="48" t="str">
        <f>HYPERLINK("https://uscode.house.gov/statutes/pl/115/241.pdf", "P.L. 115-241")</f>
        <v>P.L. 115-241</v>
      </c>
      <c r="D1050" s="3" t="s">
        <v>2008</v>
      </c>
      <c r="E1050" s="3" t="s">
        <v>2009</v>
      </c>
      <c r="F1050" s="3" t="s">
        <v>2010</v>
      </c>
      <c r="G1050" s="48" t="str">
        <f>HYPERLINK("https://uscode.house.gov/view.xhtml?req=granuleid:USC-prelim-title42-section256e&amp;num=0&amp;edition=prelim", "42 U.S.C. 256e(f)(1)")</f>
        <v>42 U.S.C. 256e(f)(1)</v>
      </c>
      <c r="H1050" s="46">
        <v>45199</v>
      </c>
      <c r="I1050" s="13">
        <v>2023</v>
      </c>
      <c r="J1050" s="47">
        <v>105000000</v>
      </c>
      <c r="K1050" s="16" t="s">
        <v>62</v>
      </c>
      <c r="L1050" s="3" t="s">
        <v>60</v>
      </c>
      <c r="M1050" s="3" t="s">
        <v>71</v>
      </c>
      <c r="N1050" s="3" t="s">
        <v>72</v>
      </c>
    </row>
    <row r="1051" spans="1:14" x14ac:dyDescent="0.3">
      <c r="A1051" s="36" t="s">
        <v>37</v>
      </c>
      <c r="B1051" s="13">
        <v>115</v>
      </c>
      <c r="C1051" s="48" t="str">
        <f>HYPERLINK("https://uscode.house.gov/statutes/pl/115/241.pdf", "P.L. 115-241")</f>
        <v>P.L. 115-241</v>
      </c>
      <c r="D1051" s="3" t="s">
        <v>2008</v>
      </c>
      <c r="E1051" s="3" t="s">
        <v>2009</v>
      </c>
      <c r="F1051" s="3" t="s">
        <v>2011</v>
      </c>
      <c r="G1051" s="48" t="str">
        <f>HYPERLINK("https://uscode.house.gov/view.xhtml?req=granuleid:USC-prelim-title42-section256e&amp;num=0&amp;edition=prelim", "42 U.S.C. 256e(f)(2)")</f>
        <v>42 U.S.C. 256e(f)(2)</v>
      </c>
      <c r="H1051" s="46">
        <v>45199</v>
      </c>
      <c r="I1051" s="13">
        <v>2023</v>
      </c>
      <c r="J1051" s="47">
        <v>220000000</v>
      </c>
      <c r="K1051" s="16" t="s">
        <v>62</v>
      </c>
      <c r="L1051" s="3" t="s">
        <v>60</v>
      </c>
      <c r="M1051" s="3" t="s">
        <v>71</v>
      </c>
      <c r="N1051" s="3" t="s">
        <v>72</v>
      </c>
    </row>
    <row r="1052" spans="1:14" x14ac:dyDescent="0.3">
      <c r="A1052" s="36" t="s">
        <v>37</v>
      </c>
      <c r="B1052" s="13">
        <v>115</v>
      </c>
      <c r="C1052" s="48" t="str">
        <f>HYPERLINK("https://uscode.house.gov/statutes/pl/115/244.pdf", "P.L. 115-244")</f>
        <v>P.L. 115-244</v>
      </c>
      <c r="D1052" s="3" t="s">
        <v>2012</v>
      </c>
      <c r="E1052" s="3" t="s">
        <v>661</v>
      </c>
      <c r="F1052" s="3" t="s">
        <v>2013</v>
      </c>
      <c r="G1052" s="49"/>
      <c r="H1052" s="46">
        <v>46295</v>
      </c>
      <c r="I1052" s="13">
        <v>2026</v>
      </c>
      <c r="J1052" s="47">
        <v>124000000</v>
      </c>
      <c r="K1052" s="16" t="s">
        <v>62</v>
      </c>
      <c r="L1052" s="3" t="s">
        <v>47</v>
      </c>
      <c r="M1052" s="3" t="s">
        <v>48</v>
      </c>
      <c r="N1052" s="3" t="s">
        <v>58</v>
      </c>
    </row>
    <row r="1053" spans="1:14" x14ac:dyDescent="0.3">
      <c r="A1053" s="36" t="s">
        <v>37</v>
      </c>
      <c r="B1053" s="13">
        <v>115</v>
      </c>
      <c r="C1053" s="48" t="str">
        <f>HYPERLINK("https://uscode.house.gov/statutes/pl/115/244.pdf", "P.L. 115-244")</f>
        <v>P.L. 115-244</v>
      </c>
      <c r="D1053" s="3" t="s">
        <v>2012</v>
      </c>
      <c r="E1053" s="3" t="s">
        <v>661</v>
      </c>
      <c r="F1053" s="3" t="s">
        <v>2014</v>
      </c>
      <c r="G1053" s="49"/>
      <c r="H1053" s="46">
        <v>46295</v>
      </c>
      <c r="I1053" s="13">
        <v>2026</v>
      </c>
      <c r="J1053" s="47">
        <v>51000000</v>
      </c>
      <c r="K1053" s="16" t="s">
        <v>62</v>
      </c>
      <c r="L1053" s="3" t="s">
        <v>47</v>
      </c>
      <c r="M1053" s="3" t="s">
        <v>48</v>
      </c>
      <c r="N1053" s="3" t="s">
        <v>58</v>
      </c>
    </row>
    <row r="1054" spans="1:14" x14ac:dyDescent="0.3">
      <c r="A1054" s="36" t="s">
        <v>37</v>
      </c>
      <c r="B1054" s="13">
        <v>115</v>
      </c>
      <c r="C1054" s="48" t="str">
        <f t="shared" ref="C1054:C1070" si="39">HYPERLINK("https://uscode.house.gov/statutes/pl/115/254.pdf", "P.L. 115-254")</f>
        <v>P.L. 115-254</v>
      </c>
      <c r="D1054" s="3" t="s">
        <v>2015</v>
      </c>
      <c r="F1054" s="3" t="s">
        <v>2016</v>
      </c>
      <c r="G1054" s="49"/>
      <c r="H1054" s="46">
        <v>45199</v>
      </c>
      <c r="I1054" s="13">
        <v>2023</v>
      </c>
      <c r="J1054" s="47">
        <v>3350000000</v>
      </c>
      <c r="K1054" s="16" t="s">
        <v>62</v>
      </c>
      <c r="L1054" s="3" t="s">
        <v>109</v>
      </c>
      <c r="M1054" s="3" t="s">
        <v>148</v>
      </c>
      <c r="N1054" s="3" t="s">
        <v>158</v>
      </c>
    </row>
    <row r="1055" spans="1:14" x14ac:dyDescent="0.3">
      <c r="A1055" s="36" t="s">
        <v>37</v>
      </c>
      <c r="B1055" s="13">
        <v>115</v>
      </c>
      <c r="C1055" s="48" t="str">
        <f t="shared" si="39"/>
        <v>P.L. 115-254</v>
      </c>
      <c r="D1055" s="3" t="s">
        <v>2015</v>
      </c>
      <c r="F1055" s="3" t="s">
        <v>2017</v>
      </c>
      <c r="G1055" s="49"/>
      <c r="H1055" s="46">
        <v>45199</v>
      </c>
      <c r="I1055" s="13">
        <v>2023</v>
      </c>
      <c r="J1055" s="47">
        <v>11537000000</v>
      </c>
      <c r="K1055" s="16" t="s">
        <v>62</v>
      </c>
      <c r="L1055" s="3" t="s">
        <v>109</v>
      </c>
      <c r="M1055" s="3" t="s">
        <v>148</v>
      </c>
      <c r="N1055" s="3" t="s">
        <v>158</v>
      </c>
    </row>
    <row r="1056" spans="1:14" x14ac:dyDescent="0.3">
      <c r="A1056" s="36" t="s">
        <v>37</v>
      </c>
      <c r="B1056" s="13">
        <v>115</v>
      </c>
      <c r="C1056" s="48" t="str">
        <f t="shared" si="39"/>
        <v>P.L. 115-254</v>
      </c>
      <c r="D1056" s="3" t="s">
        <v>2015</v>
      </c>
      <c r="F1056" s="3" t="s">
        <v>2018</v>
      </c>
      <c r="G1056" s="49"/>
      <c r="H1056" s="46">
        <v>45199</v>
      </c>
      <c r="I1056" s="13">
        <v>2023</v>
      </c>
      <c r="J1056" s="47">
        <v>172000000</v>
      </c>
      <c r="K1056" s="16" t="s">
        <v>62</v>
      </c>
      <c r="L1056" s="3" t="s">
        <v>109</v>
      </c>
      <c r="M1056" s="3" t="s">
        <v>148</v>
      </c>
      <c r="N1056" s="3" t="s">
        <v>158</v>
      </c>
    </row>
    <row r="1057" spans="1:14" x14ac:dyDescent="0.3">
      <c r="A1057" s="36" t="s">
        <v>37</v>
      </c>
      <c r="B1057" s="13">
        <v>115</v>
      </c>
      <c r="C1057" s="48" t="str">
        <f t="shared" si="39"/>
        <v>P.L. 115-254</v>
      </c>
      <c r="D1057" s="3" t="s">
        <v>2015</v>
      </c>
      <c r="F1057" s="3" t="s">
        <v>2019</v>
      </c>
      <c r="G1057" s="49"/>
      <c r="H1057" s="46">
        <v>45199</v>
      </c>
      <c r="I1057" s="13">
        <v>2023</v>
      </c>
      <c r="J1057" s="47">
        <v>3701000000</v>
      </c>
      <c r="K1057" s="16" t="s">
        <v>62</v>
      </c>
      <c r="L1057" s="3" t="s">
        <v>109</v>
      </c>
      <c r="M1057" s="3" t="s">
        <v>148</v>
      </c>
      <c r="N1057" s="3" t="s">
        <v>158</v>
      </c>
    </row>
    <row r="1058" spans="1:14" x14ac:dyDescent="0.3">
      <c r="A1058" s="36" t="s">
        <v>37</v>
      </c>
      <c r="B1058" s="13">
        <v>115</v>
      </c>
      <c r="C1058" s="48" t="str">
        <f t="shared" si="39"/>
        <v>P.L. 115-254</v>
      </c>
      <c r="D1058" s="3" t="s">
        <v>2015</v>
      </c>
      <c r="F1058" s="3" t="s">
        <v>2020</v>
      </c>
      <c r="G1058" s="49"/>
      <c r="H1058" s="46">
        <v>45199</v>
      </c>
      <c r="I1058" s="13">
        <v>2023</v>
      </c>
      <c r="J1058" s="47">
        <v>214000000</v>
      </c>
      <c r="K1058" s="16" t="s">
        <v>62</v>
      </c>
      <c r="L1058" s="3" t="s">
        <v>109</v>
      </c>
      <c r="M1058" s="3" t="s">
        <v>148</v>
      </c>
      <c r="N1058" s="3" t="s">
        <v>158</v>
      </c>
    </row>
    <row r="1059" spans="1:14" x14ac:dyDescent="0.3">
      <c r="A1059" s="36" t="s">
        <v>37</v>
      </c>
      <c r="B1059" s="13">
        <v>115</v>
      </c>
      <c r="C1059" s="48" t="str">
        <f t="shared" si="39"/>
        <v>P.L. 115-254</v>
      </c>
      <c r="D1059" s="3" t="s">
        <v>2015</v>
      </c>
      <c r="F1059" s="3" t="s">
        <v>2021</v>
      </c>
      <c r="G1059" s="49"/>
      <c r="H1059" s="46">
        <v>44834</v>
      </c>
      <c r="I1059" s="13">
        <v>2022</v>
      </c>
      <c r="J1059" s="47">
        <v>114400000</v>
      </c>
      <c r="K1059" s="47">
        <v>129300000</v>
      </c>
      <c r="L1059" s="3" t="s">
        <v>109</v>
      </c>
      <c r="M1059" s="3" t="s">
        <v>148</v>
      </c>
      <c r="N1059" s="3" t="s">
        <v>158</v>
      </c>
    </row>
    <row r="1060" spans="1:14" x14ac:dyDescent="0.3">
      <c r="A1060" s="36" t="s">
        <v>37</v>
      </c>
      <c r="B1060" s="13">
        <v>115</v>
      </c>
      <c r="C1060" s="48" t="str">
        <f t="shared" si="39"/>
        <v>P.L. 115-254</v>
      </c>
      <c r="D1060" s="3" t="s">
        <v>2015</v>
      </c>
      <c r="E1060" s="3" t="s">
        <v>2022</v>
      </c>
      <c r="F1060" s="3" t="s">
        <v>2023</v>
      </c>
      <c r="G1060" s="49"/>
      <c r="H1060" s="46">
        <v>45199</v>
      </c>
      <c r="I1060" s="13">
        <v>2023</v>
      </c>
      <c r="J1060" s="47">
        <v>1110000000</v>
      </c>
      <c r="K1060" s="16" t="s">
        <v>62</v>
      </c>
      <c r="L1060" s="3" t="s">
        <v>109</v>
      </c>
      <c r="M1060" s="3" t="s">
        <v>148</v>
      </c>
      <c r="N1060" s="3" t="s">
        <v>158</v>
      </c>
    </row>
    <row r="1061" spans="1:14" x14ac:dyDescent="0.3">
      <c r="A1061" s="36" t="s">
        <v>37</v>
      </c>
      <c r="B1061" s="13">
        <v>115</v>
      </c>
      <c r="C1061" s="48" t="str">
        <f t="shared" si="39"/>
        <v>P.L. 115-254</v>
      </c>
      <c r="D1061" s="3" t="s">
        <v>2015</v>
      </c>
      <c r="E1061" s="3" t="s">
        <v>2024</v>
      </c>
      <c r="F1061" s="3" t="s">
        <v>2025</v>
      </c>
      <c r="G1061" s="49"/>
      <c r="H1061" s="46">
        <v>45199</v>
      </c>
      <c r="I1061" s="13">
        <v>2023</v>
      </c>
      <c r="J1061" s="47">
        <v>1000000</v>
      </c>
      <c r="K1061" s="16" t="s">
        <v>62</v>
      </c>
      <c r="L1061" s="3" t="s">
        <v>109</v>
      </c>
      <c r="M1061" s="3" t="s">
        <v>148</v>
      </c>
      <c r="N1061" s="3" t="s">
        <v>158</v>
      </c>
    </row>
    <row r="1062" spans="1:14" x14ac:dyDescent="0.3">
      <c r="A1062" s="36" t="s">
        <v>37</v>
      </c>
      <c r="B1062" s="13">
        <v>115</v>
      </c>
      <c r="C1062" s="48" t="str">
        <f t="shared" si="39"/>
        <v>P.L. 115-254</v>
      </c>
      <c r="D1062" s="3" t="s">
        <v>2015</v>
      </c>
      <c r="E1062" s="3" t="s">
        <v>2026</v>
      </c>
      <c r="F1062" s="3" t="s">
        <v>2027</v>
      </c>
      <c r="G1062" s="48" t="str">
        <f>HYPERLINK("https://uscode.house.gov/view.xhtml?req=granuleid:USC-prelim-title6-section761&amp;num=0&amp;edition=prelim", "6 U.S.C. 761(d)")</f>
        <v>6 U.S.C. 761(d)</v>
      </c>
      <c r="H1062" s="46">
        <v>44834</v>
      </c>
      <c r="I1062" s="13">
        <v>2022</v>
      </c>
      <c r="J1062" s="47">
        <v>4000000</v>
      </c>
      <c r="K1062" s="47">
        <v>2000000</v>
      </c>
      <c r="L1062" s="3" t="s">
        <v>109</v>
      </c>
      <c r="M1062" s="3" t="s">
        <v>230</v>
      </c>
      <c r="N1062" s="3" t="s">
        <v>122</v>
      </c>
    </row>
    <row r="1063" spans="1:14" x14ac:dyDescent="0.3">
      <c r="A1063" s="36" t="s">
        <v>37</v>
      </c>
      <c r="B1063" s="13">
        <v>115</v>
      </c>
      <c r="C1063" s="48" t="str">
        <f t="shared" si="39"/>
        <v>P.L. 115-254</v>
      </c>
      <c r="D1063" s="3" t="s">
        <v>2015</v>
      </c>
      <c r="E1063" s="3" t="s">
        <v>2028</v>
      </c>
      <c r="F1063" s="3" t="s">
        <v>2029</v>
      </c>
      <c r="G1063" s="48" t="str">
        <f>HYPERLINK("https://uscode.house.gov/view.xhtml?req=granuleid:USC-prelim-title6-section762&amp;num=0&amp;edition=prelim", "6 U.S.C. 762(f)")</f>
        <v>6 U.S.C. 762(f)</v>
      </c>
      <c r="H1063" s="46">
        <v>44834</v>
      </c>
      <c r="I1063" s="13">
        <v>2022</v>
      </c>
      <c r="J1063" s="47">
        <v>950000000</v>
      </c>
      <c r="K1063" s="47">
        <v>355000000</v>
      </c>
      <c r="L1063" s="3" t="s">
        <v>109</v>
      </c>
      <c r="M1063" s="3" t="s">
        <v>230</v>
      </c>
      <c r="N1063" s="3" t="s">
        <v>122</v>
      </c>
    </row>
    <row r="1064" spans="1:14" x14ac:dyDescent="0.3">
      <c r="A1064" s="36" t="s">
        <v>37</v>
      </c>
      <c r="B1064" s="13">
        <v>115</v>
      </c>
      <c r="C1064" s="48" t="str">
        <f t="shared" si="39"/>
        <v>P.L. 115-254</v>
      </c>
      <c r="D1064" s="3" t="s">
        <v>2015</v>
      </c>
      <c r="E1064" s="3" t="s">
        <v>2030</v>
      </c>
      <c r="F1064" s="3" t="s">
        <v>2031</v>
      </c>
      <c r="G1064" s="48" t="str">
        <f>HYPERLINK("https://uscode.house.gov/view.xhtml?req=granuleid:USC-prelim-title49-section114&amp;num=0&amp;edition=prelim", "49 U.S.C. 114(w)")</f>
        <v>49 U.S.C. 114(w)</v>
      </c>
      <c r="H1064" s="46">
        <v>44469</v>
      </c>
      <c r="I1064" s="13">
        <v>2021</v>
      </c>
      <c r="J1064" s="47">
        <v>7917936000</v>
      </c>
      <c r="K1064" s="16" t="s">
        <v>62</v>
      </c>
      <c r="L1064" s="3" t="s">
        <v>109</v>
      </c>
      <c r="M1064" s="3" t="s">
        <v>230</v>
      </c>
      <c r="N1064" s="3" t="s">
        <v>122</v>
      </c>
    </row>
    <row r="1065" spans="1:14" x14ac:dyDescent="0.3">
      <c r="A1065" s="36" t="s">
        <v>37</v>
      </c>
      <c r="B1065" s="13">
        <v>115</v>
      </c>
      <c r="C1065" s="48" t="str">
        <f t="shared" si="39"/>
        <v>P.L. 115-254</v>
      </c>
      <c r="D1065" s="3" t="s">
        <v>2015</v>
      </c>
      <c r="E1065" s="3" t="s">
        <v>2032</v>
      </c>
      <c r="F1065" s="3" t="s">
        <v>2033</v>
      </c>
      <c r="G1065" s="49"/>
      <c r="H1065" s="46">
        <v>44469</v>
      </c>
      <c r="I1065" s="13">
        <v>2021</v>
      </c>
      <c r="J1065" s="47">
        <v>15000000</v>
      </c>
      <c r="K1065" s="16" t="s">
        <v>62</v>
      </c>
      <c r="L1065" s="3" t="s">
        <v>109</v>
      </c>
      <c r="M1065" s="3" t="s">
        <v>230</v>
      </c>
      <c r="N1065" s="3" t="s">
        <v>122</v>
      </c>
    </row>
    <row r="1066" spans="1:14" x14ac:dyDescent="0.3">
      <c r="A1066" s="36" t="s">
        <v>37</v>
      </c>
      <c r="B1066" s="13">
        <v>115</v>
      </c>
      <c r="C1066" s="48" t="str">
        <f t="shared" si="39"/>
        <v>P.L. 115-254</v>
      </c>
      <c r="D1066" s="3" t="s">
        <v>2015</v>
      </c>
      <c r="E1066" s="3" t="s">
        <v>2034</v>
      </c>
      <c r="F1066" s="3" t="s">
        <v>2035</v>
      </c>
      <c r="G1066" s="49"/>
      <c r="H1066" s="46">
        <v>44469</v>
      </c>
      <c r="I1066" s="13">
        <v>2021</v>
      </c>
      <c r="J1066" s="47">
        <v>77000000</v>
      </c>
      <c r="K1066" s="16" t="s">
        <v>62</v>
      </c>
      <c r="L1066" s="3" t="s">
        <v>109</v>
      </c>
      <c r="M1066" s="3" t="s">
        <v>230</v>
      </c>
      <c r="N1066" s="3" t="s">
        <v>122</v>
      </c>
    </row>
    <row r="1067" spans="1:14" x14ac:dyDescent="0.3">
      <c r="A1067" s="36" t="s">
        <v>37</v>
      </c>
      <c r="B1067" s="13">
        <v>115</v>
      </c>
      <c r="C1067" s="48" t="str">
        <f t="shared" si="39"/>
        <v>P.L. 115-254</v>
      </c>
      <c r="D1067" s="3" t="s">
        <v>2015</v>
      </c>
      <c r="E1067" s="3" t="s">
        <v>2036</v>
      </c>
      <c r="F1067" s="3" t="s">
        <v>2037</v>
      </c>
      <c r="G1067" s="48" t="str">
        <f>HYPERLINK("https://uscode.house.gov/view.xhtml?req=granuleid:USC-prelim-title6-section1112&amp;num=0&amp;edition=prelim", "6 U.S.C. 1112(b)")</f>
        <v>6 U.S.C. 1112(b)</v>
      </c>
      <c r="H1067" s="46">
        <v>44469</v>
      </c>
      <c r="I1067" s="13">
        <v>2021</v>
      </c>
      <c r="J1067" s="16" t="s">
        <v>12</v>
      </c>
      <c r="K1067" s="47">
        <v>951000</v>
      </c>
      <c r="L1067" s="3" t="s">
        <v>109</v>
      </c>
      <c r="M1067" s="3" t="s">
        <v>230</v>
      </c>
      <c r="N1067" s="3" t="s">
        <v>122</v>
      </c>
    </row>
    <row r="1068" spans="1:14" x14ac:dyDescent="0.3">
      <c r="A1068" s="36" t="s">
        <v>37</v>
      </c>
      <c r="B1068" s="13">
        <v>115</v>
      </c>
      <c r="C1068" s="48" t="str">
        <f t="shared" si="39"/>
        <v>P.L. 115-254</v>
      </c>
      <c r="D1068" s="3" t="s">
        <v>2015</v>
      </c>
      <c r="E1068" s="3" t="s">
        <v>2038</v>
      </c>
      <c r="F1068" s="3" t="s">
        <v>2039</v>
      </c>
      <c r="G1068" s="48" t="str">
        <f>HYPERLINK("https://uscode.house.gov/view.xhtml?req=granuleid:USC-prelim-title49-section44903&amp;num=0&amp;edition=prelim", "49 U.S.C. 44903(h)")</f>
        <v>49 U.S.C. 44903(h)</v>
      </c>
      <c r="H1068" s="46">
        <v>44469</v>
      </c>
      <c r="I1068" s="13">
        <v>2021</v>
      </c>
      <c r="J1068" s="47">
        <v>55000000</v>
      </c>
      <c r="K1068" s="16" t="s">
        <v>62</v>
      </c>
      <c r="L1068" s="3" t="s">
        <v>109</v>
      </c>
      <c r="M1068" s="3" t="s">
        <v>230</v>
      </c>
      <c r="N1068" s="3" t="s">
        <v>122</v>
      </c>
    </row>
    <row r="1069" spans="1:14" x14ac:dyDescent="0.3">
      <c r="A1069" s="36" t="s">
        <v>37</v>
      </c>
      <c r="B1069" s="13">
        <v>115</v>
      </c>
      <c r="C1069" s="48" t="str">
        <f t="shared" si="39"/>
        <v>P.L. 115-254</v>
      </c>
      <c r="D1069" s="3" t="s">
        <v>2015</v>
      </c>
      <c r="E1069" s="3" t="s">
        <v>2040</v>
      </c>
      <c r="F1069" s="3" t="s">
        <v>2041</v>
      </c>
      <c r="G1069" s="49"/>
      <c r="H1069" s="46">
        <v>44469</v>
      </c>
      <c r="I1069" s="13">
        <v>2021</v>
      </c>
      <c r="J1069" s="16" t="s">
        <v>12</v>
      </c>
      <c r="K1069" s="47">
        <v>170696000</v>
      </c>
      <c r="L1069" s="3" t="s">
        <v>109</v>
      </c>
      <c r="M1069" s="3" t="s">
        <v>230</v>
      </c>
      <c r="N1069" s="3" t="s">
        <v>122</v>
      </c>
    </row>
    <row r="1070" spans="1:14" x14ac:dyDescent="0.3">
      <c r="A1070" s="36" t="s">
        <v>37</v>
      </c>
      <c r="B1070" s="13">
        <v>115</v>
      </c>
      <c r="C1070" s="48" t="str">
        <f t="shared" si="39"/>
        <v>P.L. 115-254</v>
      </c>
      <c r="D1070" s="3" t="s">
        <v>2015</v>
      </c>
      <c r="E1070" s="3" t="s">
        <v>2042</v>
      </c>
      <c r="F1070" s="3" t="s">
        <v>2043</v>
      </c>
      <c r="G1070" s="49"/>
      <c r="H1070" s="46">
        <v>45199</v>
      </c>
      <c r="I1070" s="13">
        <v>2023</v>
      </c>
      <c r="J1070" s="47">
        <v>10000000</v>
      </c>
      <c r="K1070" s="16" t="s">
        <v>62</v>
      </c>
      <c r="L1070" s="3" t="s">
        <v>109</v>
      </c>
      <c r="M1070" s="3" t="s">
        <v>148</v>
      </c>
      <c r="N1070" s="3" t="s">
        <v>158</v>
      </c>
    </row>
    <row r="1071" spans="1:14" x14ac:dyDescent="0.3">
      <c r="A1071" s="36" t="s">
        <v>37</v>
      </c>
      <c r="B1071" s="13">
        <v>115</v>
      </c>
      <c r="C1071" s="48" t="str">
        <f>HYPERLINK("https://uscode.house.gov/statutes/pl/115/266.pdf", "P.L. 115-266")</f>
        <v>P.L. 115-266</v>
      </c>
      <c r="D1071" s="3" t="s">
        <v>2044</v>
      </c>
      <c r="E1071" s="3" t="s">
        <v>2045</v>
      </c>
      <c r="F1071" s="3" t="s">
        <v>2046</v>
      </c>
      <c r="G1071" s="48" t="str">
        <f>HYPERLINK("https://uscode.house.gov/view.xhtml?req=granuleid:USC-prelim-title22-section9305&amp;num=0&amp;edition=prelim", "22 U.S.C. 9305")</f>
        <v>22 U.S.C. 9305</v>
      </c>
      <c r="H1071" s="46">
        <v>45199</v>
      </c>
      <c r="I1071" s="13">
        <v>2023</v>
      </c>
      <c r="J1071" s="47">
        <v>1000600000</v>
      </c>
      <c r="K1071" s="16" t="s">
        <v>62</v>
      </c>
      <c r="L1071" s="3" t="s">
        <v>80</v>
      </c>
      <c r="M1071" s="3" t="s">
        <v>81</v>
      </c>
      <c r="N1071" s="3" t="s">
        <v>82</v>
      </c>
    </row>
    <row r="1072" spans="1:14" x14ac:dyDescent="0.3">
      <c r="A1072" s="36" t="s">
        <v>37</v>
      </c>
      <c r="B1072" s="13">
        <v>115</v>
      </c>
      <c r="C1072" s="48" t="str">
        <f>HYPERLINK("https://uscode.house.gov/statutes/pl/115/266.pdf", "P.L. 115-266")</f>
        <v>P.L. 115-266</v>
      </c>
      <c r="D1072" s="3" t="s">
        <v>2044</v>
      </c>
      <c r="E1072" s="3" t="s">
        <v>593</v>
      </c>
      <c r="F1072" s="3" t="s">
        <v>2047</v>
      </c>
      <c r="G1072" s="48" t="str">
        <f>HYPERLINK("https://uscode.house.gov/view.xhtml?req=granuleid:USC-prelim-title22-section2292a&amp;num=0&amp;edition=prelim", "22 U.S.C. 2292a")</f>
        <v>22 U.S.C. 2292a</v>
      </c>
      <c r="H1072" s="46">
        <v>45199</v>
      </c>
      <c r="I1072" s="13">
        <v>2023</v>
      </c>
      <c r="J1072" s="47">
        <v>2794184000</v>
      </c>
      <c r="K1072" s="16" t="s">
        <v>62</v>
      </c>
      <c r="L1072" s="3" t="s">
        <v>80</v>
      </c>
      <c r="M1072" s="3" t="s">
        <v>81</v>
      </c>
      <c r="N1072" s="3" t="s">
        <v>82</v>
      </c>
    </row>
    <row r="1073" spans="1:14" x14ac:dyDescent="0.3">
      <c r="A1073" s="36" t="s">
        <v>37</v>
      </c>
      <c r="B1073" s="13">
        <v>115</v>
      </c>
      <c r="C1073" s="48" t="str">
        <f>HYPERLINK("https://uscode.house.gov/statutes/pl/115/31.pdf", "P.L. 115-31")</f>
        <v>P.L. 115-31</v>
      </c>
      <c r="D1073" s="3" t="s">
        <v>1938</v>
      </c>
      <c r="E1073" s="3" t="s">
        <v>1945</v>
      </c>
      <c r="F1073" s="3" t="s">
        <v>1946</v>
      </c>
      <c r="G1073" s="48" t="str">
        <f>HYPERLINK("https://uscode.house.gov/view.xhtml?req=granuleid:USC-prelim-title42-section15001&amp;num=0&amp;edition=prelim", "42 U.S.C. 15001(note)")</f>
        <v>42 U.S.C. 15001(note)</v>
      </c>
      <c r="H1073" s="46">
        <v>44469</v>
      </c>
      <c r="I1073" s="13">
        <v>2021</v>
      </c>
      <c r="J1073" s="16" t="s">
        <v>12</v>
      </c>
      <c r="K1073" s="16" t="s">
        <v>62</v>
      </c>
      <c r="L1073" s="3" t="s">
        <v>130</v>
      </c>
      <c r="M1073" s="3" t="s">
        <v>71</v>
      </c>
      <c r="N1073" s="3" t="s">
        <v>72</v>
      </c>
    </row>
    <row r="1074" spans="1:14" x14ac:dyDescent="0.3">
      <c r="A1074" s="36" t="s">
        <v>37</v>
      </c>
      <c r="B1074" s="13">
        <v>115</v>
      </c>
      <c r="C1074" s="48" t="str">
        <f t="shared" ref="C1074:C1094" si="40">HYPERLINK("https://uscode.house.gov/statutes/pl/115/270.pdf", "P.L. 115-270")</f>
        <v>P.L. 115-270</v>
      </c>
      <c r="D1074" s="3" t="s">
        <v>2050</v>
      </c>
      <c r="E1074" s="3" t="s">
        <v>2051</v>
      </c>
      <c r="F1074" s="3" t="s">
        <v>2052</v>
      </c>
      <c r="G1074" s="48" t="str">
        <f>HYPERLINK("https://uscode.house.gov/view.xhtml?req=granuleid:USC-prelim-title33-section1269&amp;num=0&amp;edition=prelim", "33 U.S.C. 1269(h)")</f>
        <v>33 U.S.C. 1269(h)</v>
      </c>
      <c r="H1074" s="46">
        <v>45199</v>
      </c>
      <c r="I1074" s="13">
        <v>2023</v>
      </c>
      <c r="J1074" s="47">
        <v>40000000</v>
      </c>
      <c r="K1074" s="16" t="s">
        <v>62</v>
      </c>
      <c r="L1074" s="3" t="s">
        <v>109</v>
      </c>
      <c r="M1074" s="3" t="s">
        <v>67</v>
      </c>
      <c r="N1074" s="3" t="s">
        <v>49</v>
      </c>
    </row>
    <row r="1075" spans="1:14" x14ac:dyDescent="0.3">
      <c r="A1075" s="36" t="s">
        <v>37</v>
      </c>
      <c r="B1075" s="13">
        <v>115</v>
      </c>
      <c r="C1075" s="48" t="str">
        <f t="shared" si="40"/>
        <v>P.L. 115-270</v>
      </c>
      <c r="D1075" s="3" t="s">
        <v>2050</v>
      </c>
      <c r="E1075" s="3" t="s">
        <v>2053</v>
      </c>
      <c r="F1075" s="3" t="s">
        <v>2054</v>
      </c>
      <c r="G1075" s="48" t="str">
        <f>HYPERLINK("https://uscode.house.gov/view.xhtml?req=granuleid:USC-prelim-title33-section1330&amp;num=0&amp;edition=prelim", "33 U.S.C. 1330(note)")</f>
        <v>33 U.S.C. 1330(note)</v>
      </c>
      <c r="H1075" s="46">
        <v>45199</v>
      </c>
      <c r="I1075" s="13">
        <v>2023</v>
      </c>
      <c r="J1075" s="47">
        <v>25000000</v>
      </c>
      <c r="K1075" s="16" t="s">
        <v>62</v>
      </c>
      <c r="L1075" s="3" t="s">
        <v>109</v>
      </c>
      <c r="M1075" s="3" t="s">
        <v>67</v>
      </c>
      <c r="N1075" s="3" t="s">
        <v>49</v>
      </c>
    </row>
    <row r="1076" spans="1:14" x14ac:dyDescent="0.3">
      <c r="A1076" s="36" t="s">
        <v>37</v>
      </c>
      <c r="B1076" s="13">
        <v>115</v>
      </c>
      <c r="C1076" s="48" t="str">
        <f t="shared" si="40"/>
        <v>P.L. 115-270</v>
      </c>
      <c r="D1076" s="3" t="s">
        <v>2050</v>
      </c>
      <c r="E1076" s="3" t="s">
        <v>2055</v>
      </c>
      <c r="F1076" s="3" t="s">
        <v>2056</v>
      </c>
      <c r="G1076" s="48" t="str">
        <f>HYPERLINK("https://uscode.house.gov/view.xhtml?req=granuleid:USC-prelim-title33-section1275&amp;num=0&amp;edition=prelim", "33 U.S.C. 1275(d)(6)")</f>
        <v>33 U.S.C. 1275(d)(6)</v>
      </c>
      <c r="H1076" s="46">
        <v>44469</v>
      </c>
      <c r="I1076" s="13">
        <v>2021</v>
      </c>
      <c r="J1076" s="47">
        <v>30000000</v>
      </c>
      <c r="K1076" s="47">
        <v>3000000</v>
      </c>
      <c r="L1076" s="3" t="s">
        <v>109</v>
      </c>
      <c r="M1076" s="3" t="s">
        <v>67</v>
      </c>
      <c r="N1076" s="3" t="s">
        <v>49</v>
      </c>
    </row>
    <row r="1077" spans="1:14" x14ac:dyDescent="0.3">
      <c r="A1077" s="36" t="s">
        <v>37</v>
      </c>
      <c r="B1077" s="13">
        <v>115</v>
      </c>
      <c r="C1077" s="48" t="str">
        <f t="shared" si="40"/>
        <v>P.L. 115-270</v>
      </c>
      <c r="D1077" s="3" t="s">
        <v>2050</v>
      </c>
      <c r="E1077" s="3" t="s">
        <v>2057</v>
      </c>
      <c r="F1077" s="3" t="s">
        <v>2058</v>
      </c>
      <c r="G1077" s="48" t="str">
        <f>HYPERLINK("https://uscode.house.gov/view.xhtml?req=granuleid:USC-prelim-title33-section3912&amp;num=0&amp;edition=prelim", "33 U.S.C. 3912(e)")</f>
        <v>33 U.S.C. 3912(e)</v>
      </c>
      <c r="H1077" s="46">
        <v>44469</v>
      </c>
      <c r="I1077" s="13">
        <v>2021</v>
      </c>
      <c r="J1077" s="47">
        <v>5000000</v>
      </c>
      <c r="K1077" s="16" t="s">
        <v>62</v>
      </c>
      <c r="L1077" s="3" t="s">
        <v>109</v>
      </c>
      <c r="M1077" s="3" t="s">
        <v>67</v>
      </c>
      <c r="N1077" s="3" t="s">
        <v>49</v>
      </c>
    </row>
    <row r="1078" spans="1:14" x14ac:dyDescent="0.3">
      <c r="A1078" s="36" t="s">
        <v>37</v>
      </c>
      <c r="B1078" s="13">
        <v>115</v>
      </c>
      <c r="C1078" s="48" t="str">
        <f t="shared" si="40"/>
        <v>P.L. 115-270</v>
      </c>
      <c r="D1078" s="3" t="s">
        <v>2050</v>
      </c>
      <c r="E1078" s="3" t="s">
        <v>2059</v>
      </c>
      <c r="F1078" s="3" t="s">
        <v>2060</v>
      </c>
      <c r="G1078" s="48" t="str">
        <f>HYPERLINK("https://uscode.house.gov/view.xhtml?req=granuleid:USC-prelim-title33-section3303a&amp;num=0&amp;edition=prelim", "33 U.S.C. 3303a(g)(2)")</f>
        <v>33 U.S.C. 3303a(g)(2)</v>
      </c>
      <c r="H1078" s="46">
        <v>45199</v>
      </c>
      <c r="I1078" s="13">
        <v>2023</v>
      </c>
      <c r="J1078" s="47">
        <v>25000000</v>
      </c>
      <c r="K1078" s="16" t="s">
        <v>62</v>
      </c>
      <c r="L1078" s="3" t="s">
        <v>109</v>
      </c>
      <c r="M1078" s="3" t="s">
        <v>230</v>
      </c>
      <c r="N1078" s="3" t="s">
        <v>122</v>
      </c>
    </row>
    <row r="1079" spans="1:14" x14ac:dyDescent="0.3">
      <c r="A1079" s="36" t="s">
        <v>37</v>
      </c>
      <c r="B1079" s="13">
        <v>115</v>
      </c>
      <c r="C1079" s="48" t="str">
        <f t="shared" si="40"/>
        <v>P.L. 115-270</v>
      </c>
      <c r="D1079" s="3" t="s">
        <v>2050</v>
      </c>
      <c r="F1079" s="3" t="s">
        <v>2061</v>
      </c>
      <c r="G1079" s="49"/>
      <c r="H1079" s="46">
        <v>45199</v>
      </c>
      <c r="I1079" s="13">
        <v>2023</v>
      </c>
      <c r="J1079" s="47">
        <v>20000000</v>
      </c>
      <c r="K1079" s="16" t="s">
        <v>62</v>
      </c>
      <c r="L1079" s="3" t="s">
        <v>109</v>
      </c>
      <c r="M1079" s="3" t="s">
        <v>67</v>
      </c>
      <c r="N1079" s="3" t="s">
        <v>58</v>
      </c>
    </row>
    <row r="1080" spans="1:14" x14ac:dyDescent="0.3">
      <c r="A1080" s="36" t="s">
        <v>37</v>
      </c>
      <c r="B1080" s="13">
        <v>115</v>
      </c>
      <c r="C1080" s="48" t="str">
        <f t="shared" si="40"/>
        <v>P.L. 115-270</v>
      </c>
      <c r="D1080" s="3" t="s">
        <v>2050</v>
      </c>
      <c r="E1080" s="3" t="s">
        <v>2062</v>
      </c>
      <c r="F1080" s="3" t="s">
        <v>2063</v>
      </c>
      <c r="G1080" s="49"/>
      <c r="H1080" s="46">
        <v>45199</v>
      </c>
      <c r="I1080" s="13">
        <v>2023</v>
      </c>
      <c r="J1080" s="47">
        <v>4000000</v>
      </c>
      <c r="K1080" s="16" t="s">
        <v>62</v>
      </c>
      <c r="L1080" s="3" t="s">
        <v>109</v>
      </c>
      <c r="M1080" s="3" t="s">
        <v>67</v>
      </c>
      <c r="N1080" s="3" t="s">
        <v>58</v>
      </c>
    </row>
    <row r="1081" spans="1:14" x14ac:dyDescent="0.3">
      <c r="A1081" s="36" t="s">
        <v>37</v>
      </c>
      <c r="B1081" s="13">
        <v>115</v>
      </c>
      <c r="C1081" s="48" t="str">
        <f t="shared" si="40"/>
        <v>P.L. 115-270</v>
      </c>
      <c r="D1081" s="3" t="s">
        <v>2050</v>
      </c>
      <c r="F1081" s="3" t="s">
        <v>2064</v>
      </c>
      <c r="G1081" s="49"/>
      <c r="H1081" s="46">
        <v>45199</v>
      </c>
      <c r="I1081" s="13">
        <v>2023</v>
      </c>
      <c r="J1081" s="47">
        <v>30000000</v>
      </c>
      <c r="K1081" s="16" t="s">
        <v>62</v>
      </c>
      <c r="L1081" s="3" t="s">
        <v>109</v>
      </c>
      <c r="M1081" s="3" t="s">
        <v>67</v>
      </c>
      <c r="N1081" s="3" t="s">
        <v>58</v>
      </c>
    </row>
    <row r="1082" spans="1:14" x14ac:dyDescent="0.3">
      <c r="A1082" s="36" t="s">
        <v>37</v>
      </c>
      <c r="B1082" s="13">
        <v>115</v>
      </c>
      <c r="C1082" s="48" t="str">
        <f t="shared" si="40"/>
        <v>P.L. 115-270</v>
      </c>
      <c r="D1082" s="3" t="s">
        <v>2050</v>
      </c>
      <c r="E1082" s="3" t="s">
        <v>2065</v>
      </c>
      <c r="F1082" s="3" t="s">
        <v>2066</v>
      </c>
      <c r="G1082" s="48" t="str">
        <f>HYPERLINK("https://uscode.house.gov/view.xhtml?req=granuleid:USC-prelim-title33-section467j&amp;num=0&amp;edition=prelim", "33 U.S.C. 467j(a)(1)")</f>
        <v>33 U.S.C. 467j(a)(1)</v>
      </c>
      <c r="H1082" s="46">
        <v>45199</v>
      </c>
      <c r="I1082" s="13">
        <v>2023</v>
      </c>
      <c r="J1082" s="47">
        <v>9200000</v>
      </c>
      <c r="K1082" s="16" t="s">
        <v>62</v>
      </c>
      <c r="L1082" s="3" t="s">
        <v>642</v>
      </c>
      <c r="M1082" s="3" t="s">
        <v>230</v>
      </c>
      <c r="N1082" s="3" t="s">
        <v>122</v>
      </c>
    </row>
    <row r="1083" spans="1:14" x14ac:dyDescent="0.3">
      <c r="A1083" s="36" t="s">
        <v>37</v>
      </c>
      <c r="B1083" s="13">
        <v>115</v>
      </c>
      <c r="C1083" s="48" t="str">
        <f t="shared" si="40"/>
        <v>P.L. 115-270</v>
      </c>
      <c r="D1083" s="3" t="s">
        <v>2050</v>
      </c>
      <c r="E1083" s="3" t="s">
        <v>2065</v>
      </c>
      <c r="F1083" s="3" t="s">
        <v>2067</v>
      </c>
      <c r="G1083" s="48" t="str">
        <f>HYPERLINK("https://uscode.house.gov/view.xhtml?req=granuleid:USC-prelim-title33-section467j&amp;num=0&amp;edition=prelim", "33 U.S.C. 467j(b)")</f>
        <v>33 U.S.C. 467j(b)</v>
      </c>
      <c r="H1083" s="46">
        <v>45199</v>
      </c>
      <c r="I1083" s="13">
        <v>2023</v>
      </c>
      <c r="J1083" s="47">
        <v>500000</v>
      </c>
      <c r="K1083" s="16" t="s">
        <v>62</v>
      </c>
      <c r="L1083" s="3" t="s">
        <v>109</v>
      </c>
      <c r="M1083" s="3" t="s">
        <v>230</v>
      </c>
      <c r="N1083" s="3" t="s">
        <v>122</v>
      </c>
    </row>
    <row r="1084" spans="1:14" x14ac:dyDescent="0.3">
      <c r="A1084" s="36" t="s">
        <v>37</v>
      </c>
      <c r="B1084" s="13">
        <v>115</v>
      </c>
      <c r="C1084" s="48" t="str">
        <f t="shared" si="40"/>
        <v>P.L. 115-270</v>
      </c>
      <c r="D1084" s="3" t="s">
        <v>2050</v>
      </c>
      <c r="E1084" s="3" t="s">
        <v>2065</v>
      </c>
      <c r="F1084" s="3" t="s">
        <v>2068</v>
      </c>
      <c r="G1084" s="48" t="str">
        <f>HYPERLINK("https://uscode.house.gov/view.xhtml?req=granuleid:USC-prelim-title33-section467j&amp;num=0&amp;edition=prelim", "33 U.S.C. 467j(c)")</f>
        <v>33 U.S.C. 467j(c)</v>
      </c>
      <c r="H1084" s="46">
        <v>45199</v>
      </c>
      <c r="I1084" s="13">
        <v>2023</v>
      </c>
      <c r="J1084" s="47">
        <v>1000000</v>
      </c>
      <c r="K1084" s="16" t="s">
        <v>62</v>
      </c>
      <c r="L1084" s="3" t="s">
        <v>109</v>
      </c>
      <c r="M1084" s="3" t="s">
        <v>230</v>
      </c>
      <c r="N1084" s="3" t="s">
        <v>122</v>
      </c>
    </row>
    <row r="1085" spans="1:14" x14ac:dyDescent="0.3">
      <c r="A1085" s="36" t="s">
        <v>37</v>
      </c>
      <c r="B1085" s="13">
        <v>115</v>
      </c>
      <c r="C1085" s="48" t="str">
        <f t="shared" si="40"/>
        <v>P.L. 115-270</v>
      </c>
      <c r="D1085" s="3" t="s">
        <v>2050</v>
      </c>
      <c r="E1085" s="3" t="s">
        <v>2065</v>
      </c>
      <c r="F1085" s="3" t="s">
        <v>2069</v>
      </c>
      <c r="G1085" s="48" t="str">
        <f>HYPERLINK("https://uscode.house.gov/view.xhtml?req=granuleid:USC-prelim-title33-section467j&amp;num=0&amp;edition=prelim", "33 U.S.C. 467j(d)")</f>
        <v>33 U.S.C. 467j(d)</v>
      </c>
      <c r="H1085" s="46">
        <v>45199</v>
      </c>
      <c r="I1085" s="13">
        <v>2023</v>
      </c>
      <c r="J1085" s="47">
        <v>1450000</v>
      </c>
      <c r="K1085" s="16" t="s">
        <v>62</v>
      </c>
      <c r="L1085" s="3" t="s">
        <v>109</v>
      </c>
      <c r="M1085" s="3" t="s">
        <v>230</v>
      </c>
      <c r="N1085" s="3" t="s">
        <v>122</v>
      </c>
    </row>
    <row r="1086" spans="1:14" x14ac:dyDescent="0.3">
      <c r="A1086" s="36" t="s">
        <v>37</v>
      </c>
      <c r="B1086" s="13">
        <v>115</v>
      </c>
      <c r="C1086" s="48" t="str">
        <f t="shared" si="40"/>
        <v>P.L. 115-270</v>
      </c>
      <c r="D1086" s="3" t="s">
        <v>2050</v>
      </c>
      <c r="E1086" s="3" t="s">
        <v>2065</v>
      </c>
      <c r="F1086" s="3" t="s">
        <v>2070</v>
      </c>
      <c r="G1086" s="48" t="str">
        <f>HYPERLINK("https://uscode.house.gov/view.xhtml?req=granuleid:USC-prelim-title33-section467j&amp;num=0&amp;edition=prelim", "33 U.S.C. 467j(e)")</f>
        <v>33 U.S.C. 467j(e)</v>
      </c>
      <c r="H1086" s="46">
        <v>45199</v>
      </c>
      <c r="I1086" s="13">
        <v>2023</v>
      </c>
      <c r="J1086" s="47">
        <v>750000</v>
      </c>
      <c r="K1086" s="16" t="s">
        <v>62</v>
      </c>
      <c r="L1086" s="3" t="s">
        <v>109</v>
      </c>
      <c r="M1086" s="3" t="s">
        <v>230</v>
      </c>
      <c r="N1086" s="3" t="s">
        <v>122</v>
      </c>
    </row>
    <row r="1087" spans="1:14" x14ac:dyDescent="0.3">
      <c r="A1087" s="36" t="s">
        <v>37</v>
      </c>
      <c r="B1087" s="13">
        <v>115</v>
      </c>
      <c r="C1087" s="48" t="str">
        <f t="shared" si="40"/>
        <v>P.L. 115-270</v>
      </c>
      <c r="D1087" s="3" t="s">
        <v>2050</v>
      </c>
      <c r="E1087" s="3" t="s">
        <v>2065</v>
      </c>
      <c r="F1087" s="3" t="s">
        <v>2071</v>
      </c>
      <c r="G1087" s="48" t="str">
        <f>HYPERLINK("https://uscode.house.gov/view.xhtml?req=granuleid:USC-prelim-title33-section467j&amp;num=0&amp;edition=prelim", "33 U.S.C. 467j(f)")</f>
        <v>33 U.S.C. 467j(f)</v>
      </c>
      <c r="H1087" s="46">
        <v>45199</v>
      </c>
      <c r="I1087" s="13">
        <v>2023</v>
      </c>
      <c r="J1087" s="47">
        <v>1000000</v>
      </c>
      <c r="K1087" s="16" t="s">
        <v>62</v>
      </c>
      <c r="L1087" s="3" t="s">
        <v>109</v>
      </c>
      <c r="M1087" s="3" t="s">
        <v>230</v>
      </c>
      <c r="N1087" s="3" t="s">
        <v>122</v>
      </c>
    </row>
    <row r="1088" spans="1:14" x14ac:dyDescent="0.3">
      <c r="A1088" s="36" t="s">
        <v>37</v>
      </c>
      <c r="B1088" s="13">
        <v>115</v>
      </c>
      <c r="C1088" s="48" t="str">
        <f t="shared" si="40"/>
        <v>P.L. 115-270</v>
      </c>
      <c r="D1088" s="3" t="s">
        <v>2050</v>
      </c>
      <c r="F1088" s="3" t="s">
        <v>2072</v>
      </c>
      <c r="G1088" s="49"/>
      <c r="H1088" s="46">
        <v>44104</v>
      </c>
      <c r="I1088" s="13">
        <v>2020</v>
      </c>
      <c r="J1088" s="47">
        <v>10000000</v>
      </c>
      <c r="K1088" s="16" t="s">
        <v>62</v>
      </c>
      <c r="L1088" s="3" t="s">
        <v>109</v>
      </c>
      <c r="M1088" s="3" t="s">
        <v>67</v>
      </c>
      <c r="N1088" s="3" t="s">
        <v>49</v>
      </c>
    </row>
    <row r="1089" spans="1:14" x14ac:dyDescent="0.3">
      <c r="A1089" s="36" t="s">
        <v>37</v>
      </c>
      <c r="B1089" s="13">
        <v>115</v>
      </c>
      <c r="C1089" s="48" t="str">
        <f t="shared" si="40"/>
        <v>P.L. 115-270</v>
      </c>
      <c r="D1089" s="3" t="s">
        <v>2050</v>
      </c>
      <c r="F1089" s="3" t="s">
        <v>2073</v>
      </c>
      <c r="G1089" s="48" t="str">
        <f>HYPERLINK("https://uscode.house.gov/view.xhtml?req=granuleid:USC-prelim-title42-section300i-2&amp;num=0&amp;edition=prelim", "42 U.S.C. 300i-2")</f>
        <v>42 U.S.C. 300i-2</v>
      </c>
      <c r="H1089" s="46">
        <v>44469</v>
      </c>
      <c r="I1089" s="13">
        <v>2021</v>
      </c>
      <c r="J1089" s="47">
        <v>25000000</v>
      </c>
      <c r="K1089" s="16" t="s">
        <v>62</v>
      </c>
      <c r="L1089" s="3" t="s">
        <v>109</v>
      </c>
      <c r="M1089" s="3" t="s">
        <v>67</v>
      </c>
      <c r="N1089" s="3" t="s">
        <v>49</v>
      </c>
    </row>
    <row r="1090" spans="1:14" x14ac:dyDescent="0.3">
      <c r="A1090" s="36" t="s">
        <v>37</v>
      </c>
      <c r="B1090" s="13">
        <v>115</v>
      </c>
      <c r="C1090" s="48" t="str">
        <f t="shared" si="40"/>
        <v>P.L. 115-270</v>
      </c>
      <c r="D1090" s="3" t="s">
        <v>2050</v>
      </c>
      <c r="F1090" s="3" t="s">
        <v>2074</v>
      </c>
      <c r="G1090" s="48" t="str">
        <f>HYPERLINK("https://uscode.house.gov/view.xhtml?req=granuleid:USC-prelim-title42-section300j-2&amp;num=0&amp;edition=prelim", "42 U.S.C. 300j-2(a)(7)")</f>
        <v>42 U.S.C. 300j-2(a)(7)</v>
      </c>
      <c r="H1090" s="46">
        <v>44469</v>
      </c>
      <c r="I1090" s="13">
        <v>2021</v>
      </c>
      <c r="J1090" s="47">
        <v>125000000</v>
      </c>
      <c r="K1090" s="16" t="s">
        <v>62</v>
      </c>
      <c r="L1090" s="3" t="s">
        <v>109</v>
      </c>
      <c r="M1090" s="3" t="s">
        <v>67</v>
      </c>
      <c r="N1090" s="3" t="s">
        <v>49</v>
      </c>
    </row>
    <row r="1091" spans="1:14" x14ac:dyDescent="0.3">
      <c r="A1091" s="36" t="s">
        <v>37</v>
      </c>
      <c r="B1091" s="13">
        <v>115</v>
      </c>
      <c r="C1091" s="48" t="str">
        <f t="shared" si="40"/>
        <v>P.L. 115-270</v>
      </c>
      <c r="D1091" s="3" t="s">
        <v>2050</v>
      </c>
      <c r="E1091" s="3" t="s">
        <v>2075</v>
      </c>
      <c r="F1091" s="3" t="s">
        <v>2076</v>
      </c>
      <c r="G1091" s="48" t="str">
        <f>HYPERLINK("https://uscode.house.gov/view.xhtml?req=granuleid:USC-prelim-title42-section300j-14&amp;num=0&amp;edition=prelim", "42 U.S.C. 300j-14")</f>
        <v>42 U.S.C. 300j-14</v>
      </c>
      <c r="H1091" s="46">
        <v>44469</v>
      </c>
      <c r="I1091" s="13">
        <v>2021</v>
      </c>
      <c r="J1091" s="47">
        <v>5000000</v>
      </c>
      <c r="K1091" s="16" t="s">
        <v>62</v>
      </c>
      <c r="L1091" s="3" t="s">
        <v>60</v>
      </c>
      <c r="M1091" s="3" t="s">
        <v>67</v>
      </c>
      <c r="N1091" s="3" t="s">
        <v>49</v>
      </c>
    </row>
    <row r="1092" spans="1:14" x14ac:dyDescent="0.3">
      <c r="A1092" s="36" t="s">
        <v>37</v>
      </c>
      <c r="B1092" s="13">
        <v>115</v>
      </c>
      <c r="C1092" s="48" t="str">
        <f t="shared" si="40"/>
        <v>P.L. 115-270</v>
      </c>
      <c r="D1092" s="3" t="s">
        <v>2050</v>
      </c>
      <c r="E1092" s="3" t="s">
        <v>2077</v>
      </c>
      <c r="F1092" s="3" t="s">
        <v>2078</v>
      </c>
      <c r="G1092" s="48" t="str">
        <f>HYPERLINK("https://uscode.house.gov/view.xhtml?req=granuleid:USC-prelim-title42-section300j&amp;num=0&amp;edition=prelim", "42 U.S.C. 300j(et seq)")</f>
        <v>42 U.S.C. 300j(et seq)</v>
      </c>
      <c r="H1092" s="46">
        <v>43738</v>
      </c>
      <c r="I1092" s="13">
        <v>2019</v>
      </c>
      <c r="J1092" s="47">
        <v>10000000</v>
      </c>
      <c r="K1092" s="16" t="s">
        <v>62</v>
      </c>
      <c r="L1092" s="3" t="s">
        <v>109</v>
      </c>
      <c r="M1092" s="3" t="s">
        <v>67</v>
      </c>
      <c r="N1092" s="3" t="s">
        <v>49</v>
      </c>
    </row>
    <row r="1093" spans="1:14" x14ac:dyDescent="0.3">
      <c r="A1093" s="36" t="s">
        <v>37</v>
      </c>
      <c r="B1093" s="13">
        <v>115</v>
      </c>
      <c r="C1093" s="48" t="str">
        <f t="shared" si="40"/>
        <v>P.L. 115-270</v>
      </c>
      <c r="D1093" s="3" t="s">
        <v>2050</v>
      </c>
      <c r="E1093" s="3" t="s">
        <v>2079</v>
      </c>
      <c r="F1093" s="3" t="s">
        <v>2080</v>
      </c>
      <c r="G1093" s="48" t="str">
        <f>HYPERLINK("https://uscode.house.gov/view.xhtml?req=granuleid:USC-prelim-title42-section300j-4&amp;num=0&amp;edition=prelim", "42 U.S.C. 300j-4")</f>
        <v>42 U.S.C. 300j-4</v>
      </c>
      <c r="H1093" s="46">
        <v>44469</v>
      </c>
      <c r="I1093" s="13">
        <v>2021</v>
      </c>
      <c r="J1093" s="47">
        <v>10000000</v>
      </c>
      <c r="K1093" s="16" t="s">
        <v>62</v>
      </c>
      <c r="L1093" s="3" t="s">
        <v>60</v>
      </c>
      <c r="M1093" s="3" t="s">
        <v>67</v>
      </c>
      <c r="N1093" s="3" t="s">
        <v>49</v>
      </c>
    </row>
    <row r="1094" spans="1:14" x14ac:dyDescent="0.3">
      <c r="A1094" s="36" t="s">
        <v>37</v>
      </c>
      <c r="B1094" s="13">
        <v>115</v>
      </c>
      <c r="C1094" s="48" t="str">
        <f t="shared" si="40"/>
        <v>P.L. 115-270</v>
      </c>
      <c r="D1094" s="3" t="s">
        <v>2050</v>
      </c>
      <c r="E1094" s="3" t="s">
        <v>2081</v>
      </c>
      <c r="F1094" s="3" t="s">
        <v>2082</v>
      </c>
      <c r="G1094" s="48" t="str">
        <f>HYPERLINK("https://uscode.house.gov/view.xhtml?req=granuleid:USC-prelim-title42-section300j-12&amp;num=0&amp;edition=prelim", "42 U.S.C. 300j-12(m)")</f>
        <v>42 U.S.C. 300j-12(m)</v>
      </c>
      <c r="H1094" s="46">
        <v>44469</v>
      </c>
      <c r="I1094" s="13">
        <v>2021</v>
      </c>
      <c r="J1094" s="47">
        <v>1950000000</v>
      </c>
      <c r="K1094" s="47">
        <v>12300101000</v>
      </c>
      <c r="L1094" s="3" t="s">
        <v>60</v>
      </c>
      <c r="M1094" s="3" t="s">
        <v>67</v>
      </c>
      <c r="N1094" s="3" t="s">
        <v>49</v>
      </c>
    </row>
    <row r="1095" spans="1:14" x14ac:dyDescent="0.3">
      <c r="A1095" s="36" t="s">
        <v>37</v>
      </c>
      <c r="B1095" s="13">
        <v>115</v>
      </c>
      <c r="C1095" s="48" t="str">
        <f t="shared" ref="C1095:C1129" si="41">HYPERLINK("https://uscode.house.gov/statutes/pl/115/271.pdf", "P.L. 115-271")</f>
        <v>P.L. 115-271</v>
      </c>
      <c r="D1095" s="3" t="s">
        <v>2083</v>
      </c>
      <c r="E1095" s="3" t="s">
        <v>2084</v>
      </c>
      <c r="F1095" s="3" t="s">
        <v>2085</v>
      </c>
      <c r="G1095" s="48" t="str">
        <f>HYPERLINK("https://uscode.house.gov/view.xhtml?req=granuleid:USC-prelim-title21-section823&amp;num=0&amp;edition=prelim", "21 U.S.C. 823(note)")</f>
        <v>21 U.S.C. 823(note)</v>
      </c>
      <c r="H1095" s="46">
        <v>45199</v>
      </c>
      <c r="I1095" s="13">
        <v>2023</v>
      </c>
      <c r="J1095" s="47">
        <v>4000000</v>
      </c>
      <c r="K1095" s="16" t="s">
        <v>62</v>
      </c>
      <c r="L1095" s="3" t="s">
        <v>60</v>
      </c>
      <c r="M1095" s="3" t="s">
        <v>71</v>
      </c>
      <c r="N1095" s="3" t="s">
        <v>72</v>
      </c>
    </row>
    <row r="1096" spans="1:14" x14ac:dyDescent="0.3">
      <c r="A1096" s="36" t="s">
        <v>37</v>
      </c>
      <c r="B1096" s="13">
        <v>115</v>
      </c>
      <c r="C1096" s="48" t="str">
        <f t="shared" si="41"/>
        <v>P.L. 115-271</v>
      </c>
      <c r="D1096" s="3" t="s">
        <v>2083</v>
      </c>
      <c r="E1096" s="3" t="s">
        <v>2086</v>
      </c>
      <c r="F1096" s="3" t="s">
        <v>2087</v>
      </c>
      <c r="G1096" s="48" t="str">
        <f>HYPERLINK("https://uscode.house.gov/view.xhtml?req=granuleid:USC-prelim-title42-section290ee-1&amp;num=0&amp;edition=prelim", "42 U.S.C. 290ee-1(h)")</f>
        <v>42 U.S.C. 290ee-1(h)</v>
      </c>
      <c r="H1096" s="46">
        <v>45199</v>
      </c>
      <c r="I1096" s="13">
        <v>2023</v>
      </c>
      <c r="J1096" s="47">
        <v>36000000</v>
      </c>
      <c r="K1096" s="16" t="s">
        <v>62</v>
      </c>
      <c r="L1096" s="3" t="s">
        <v>60</v>
      </c>
      <c r="M1096" s="3" t="s">
        <v>71</v>
      </c>
      <c r="N1096" s="3" t="s">
        <v>72</v>
      </c>
    </row>
    <row r="1097" spans="1:14" x14ac:dyDescent="0.3">
      <c r="A1097" s="36" t="s">
        <v>37</v>
      </c>
      <c r="B1097" s="13">
        <v>115</v>
      </c>
      <c r="C1097" s="48" t="str">
        <f t="shared" si="41"/>
        <v>P.L. 115-271</v>
      </c>
      <c r="D1097" s="3" t="s">
        <v>2083</v>
      </c>
      <c r="E1097" s="3" t="s">
        <v>2088</v>
      </c>
      <c r="F1097" s="3" t="s">
        <v>2089</v>
      </c>
      <c r="G1097" s="48" t="str">
        <f>HYPERLINK("https://uscode.house.gov/view.xhtml?req=granuleid:USC-prelim-title42-section247d-10&amp;num=0&amp;edition=prelim", "42 U.S.C. 247d-10(d)")</f>
        <v>42 U.S.C. 247d-10(d)</v>
      </c>
      <c r="H1097" s="46">
        <v>45199</v>
      </c>
      <c r="I1097" s="13">
        <v>2023</v>
      </c>
      <c r="J1097" s="47">
        <v>15000000</v>
      </c>
      <c r="K1097" s="16" t="s">
        <v>62</v>
      </c>
      <c r="L1097" s="3" t="s">
        <v>60</v>
      </c>
      <c r="M1097" s="3" t="s">
        <v>71</v>
      </c>
      <c r="N1097" s="3" t="s">
        <v>72</v>
      </c>
    </row>
    <row r="1098" spans="1:14" x14ac:dyDescent="0.3">
      <c r="A1098" s="36" t="s">
        <v>37</v>
      </c>
      <c r="B1098" s="13">
        <v>115</v>
      </c>
      <c r="C1098" s="48" t="str">
        <f t="shared" si="41"/>
        <v>P.L. 115-271</v>
      </c>
      <c r="D1098" s="3" t="s">
        <v>2083</v>
      </c>
      <c r="E1098" s="3" t="s">
        <v>2090</v>
      </c>
      <c r="F1098" s="3" t="s">
        <v>2091</v>
      </c>
      <c r="G1098" s="48" t="str">
        <f>HYPERLINK("https://uscode.house.gov/view.xhtml?req=granuleid:USC-prelim-title42-section290dd-2&amp;num=0&amp;edition=prelim", "42 U.S.C. 290dd-2(note)")</f>
        <v>42 U.S.C. 290dd-2(note)</v>
      </c>
      <c r="H1098" s="46">
        <v>45199</v>
      </c>
      <c r="I1098" s="13">
        <v>2023</v>
      </c>
      <c r="J1098" s="47">
        <v>1000000</v>
      </c>
      <c r="K1098" s="16" t="s">
        <v>62</v>
      </c>
      <c r="L1098" s="3" t="s">
        <v>60</v>
      </c>
      <c r="M1098" s="3" t="s">
        <v>71</v>
      </c>
      <c r="N1098" s="3" t="s">
        <v>72</v>
      </c>
    </row>
    <row r="1099" spans="1:14" x14ac:dyDescent="0.3">
      <c r="A1099" s="36" t="s">
        <v>37</v>
      </c>
      <c r="B1099" s="13">
        <v>115</v>
      </c>
      <c r="C1099" s="48" t="str">
        <f t="shared" si="41"/>
        <v>P.L. 115-271</v>
      </c>
      <c r="D1099" s="3" t="s">
        <v>2083</v>
      </c>
      <c r="E1099" s="3" t="s">
        <v>2092</v>
      </c>
      <c r="F1099" s="3" t="s">
        <v>2093</v>
      </c>
      <c r="G1099" s="48" t="str">
        <f>HYPERLINK("https://uscode.house.gov/view.xhtml?req=granuleid:USC-prelim-title42-section290bb-1&amp;num=0&amp;edition=prelim", "42 U.S.C. 290bb-1(s)")</f>
        <v>42 U.S.C. 290bb-1(s)</v>
      </c>
      <c r="H1099" s="46">
        <v>45199</v>
      </c>
      <c r="I1099" s="13">
        <v>2023</v>
      </c>
      <c r="J1099" s="47">
        <v>29931000</v>
      </c>
      <c r="K1099" s="16" t="s">
        <v>62</v>
      </c>
      <c r="L1099" s="3" t="s">
        <v>60</v>
      </c>
      <c r="M1099" s="3" t="s">
        <v>71</v>
      </c>
      <c r="N1099" s="3" t="s">
        <v>72</v>
      </c>
    </row>
    <row r="1100" spans="1:14" x14ac:dyDescent="0.3">
      <c r="A1100" s="36" t="s">
        <v>37</v>
      </c>
      <c r="B1100" s="13">
        <v>115</v>
      </c>
      <c r="C1100" s="48" t="str">
        <f t="shared" si="41"/>
        <v>P.L. 115-271</v>
      </c>
      <c r="D1100" s="3" t="s">
        <v>2083</v>
      </c>
      <c r="E1100" s="3" t="s">
        <v>703</v>
      </c>
      <c r="F1100" s="3" t="s">
        <v>2094</v>
      </c>
      <c r="G1100" s="48" t="str">
        <f>HYPERLINK("https://uscode.house.gov/view.xhtml?req=granuleid:USC-prelim-title42-section247b-13&amp;num=0&amp;edition=prelim", "42 U.S.C. 247b-13")</f>
        <v>42 U.S.C. 247b-13</v>
      </c>
      <c r="H1100" s="46">
        <v>45199</v>
      </c>
      <c r="I1100" s="13">
        <v>2023</v>
      </c>
      <c r="J1100" s="16" t="s">
        <v>12</v>
      </c>
      <c r="K1100" s="16" t="s">
        <v>62</v>
      </c>
      <c r="L1100" s="3" t="s">
        <v>60</v>
      </c>
      <c r="M1100" s="3" t="s">
        <v>71</v>
      </c>
      <c r="N1100" s="3" t="s">
        <v>72</v>
      </c>
    </row>
    <row r="1101" spans="1:14" x14ac:dyDescent="0.3">
      <c r="A1101" s="36" t="s">
        <v>37</v>
      </c>
      <c r="B1101" s="13">
        <v>115</v>
      </c>
      <c r="C1101" s="48" t="str">
        <f t="shared" si="41"/>
        <v>P.L. 115-271</v>
      </c>
      <c r="D1101" s="3" t="s">
        <v>2083</v>
      </c>
      <c r="E1101" s="3" t="s">
        <v>2095</v>
      </c>
      <c r="F1101" s="3" t="s">
        <v>2096</v>
      </c>
      <c r="G1101" s="48" t="str">
        <f>HYPERLINK("https://uscode.house.gov/view.xhtml?req=granuleid:USC-prelim-title42-section5106a&amp;num=0&amp;edition=prelim", "42 U.S.C. 5106a")</f>
        <v>42 U.S.C. 5106a</v>
      </c>
      <c r="H1101" s="46">
        <v>45199</v>
      </c>
      <c r="I1101" s="13">
        <v>2023</v>
      </c>
      <c r="J1101" s="16" t="s">
        <v>12</v>
      </c>
      <c r="K1101" s="16" t="s">
        <v>62</v>
      </c>
      <c r="L1101" s="3" t="s">
        <v>60</v>
      </c>
      <c r="M1101" s="3" t="s">
        <v>71</v>
      </c>
      <c r="N1101" s="3" t="s">
        <v>72</v>
      </c>
    </row>
    <row r="1102" spans="1:14" x14ac:dyDescent="0.3">
      <c r="A1102" s="36" t="s">
        <v>37</v>
      </c>
      <c r="B1102" s="13">
        <v>115</v>
      </c>
      <c r="C1102" s="48" t="str">
        <f t="shared" si="41"/>
        <v>P.L. 115-271</v>
      </c>
      <c r="D1102" s="3" t="s">
        <v>2083</v>
      </c>
      <c r="E1102" s="3" t="s">
        <v>2097</v>
      </c>
      <c r="F1102" s="3" t="s">
        <v>2098</v>
      </c>
      <c r="G1102" s="48" t="str">
        <f>HYPERLINK("https://uscode.house.gov/view.xhtml?req=granuleid:USC-prelim-title42-section294n&amp;num=0&amp;edition=prelim", "42 U.S.C. 294n(e)")</f>
        <v>42 U.S.C. 294n(e)</v>
      </c>
      <c r="H1102" s="46">
        <v>45199</v>
      </c>
      <c r="I1102" s="13">
        <v>2023</v>
      </c>
      <c r="J1102" s="47">
        <v>25000000</v>
      </c>
      <c r="K1102" s="16" t="s">
        <v>62</v>
      </c>
      <c r="L1102" s="3" t="s">
        <v>60</v>
      </c>
      <c r="M1102" s="3" t="s">
        <v>71</v>
      </c>
      <c r="N1102" s="3" t="s">
        <v>72</v>
      </c>
    </row>
    <row r="1103" spans="1:14" x14ac:dyDescent="0.3">
      <c r="A1103" s="36" t="s">
        <v>37</v>
      </c>
      <c r="B1103" s="13">
        <v>115</v>
      </c>
      <c r="C1103" s="48" t="str">
        <f t="shared" si="41"/>
        <v>P.L. 115-271</v>
      </c>
      <c r="D1103" s="3" t="s">
        <v>2083</v>
      </c>
      <c r="E1103" s="3" t="s">
        <v>2099</v>
      </c>
      <c r="F1103" s="3" t="s">
        <v>2100</v>
      </c>
      <c r="G1103" s="48" t="str">
        <f>HYPERLINK("https://uscode.house.gov/view.xhtml?req=granuleid:USC-prelim-title42-section294i&amp;num=0&amp;edition=prelim", "42 U.S.C. 294i")</f>
        <v>42 U.S.C. 294i</v>
      </c>
      <c r="H1103" s="46">
        <v>45199</v>
      </c>
      <c r="I1103" s="13">
        <v>2023</v>
      </c>
      <c r="J1103" s="16" t="s">
        <v>12</v>
      </c>
      <c r="K1103" s="16" t="s">
        <v>62</v>
      </c>
      <c r="L1103" s="3" t="s">
        <v>60</v>
      </c>
      <c r="M1103" s="3" t="s">
        <v>71</v>
      </c>
      <c r="N1103" s="3" t="s">
        <v>72</v>
      </c>
    </row>
    <row r="1104" spans="1:14" x14ac:dyDescent="0.3">
      <c r="A1104" s="36" t="s">
        <v>37</v>
      </c>
      <c r="B1104" s="13">
        <v>115</v>
      </c>
      <c r="C1104" s="48" t="str">
        <f t="shared" si="41"/>
        <v>P.L. 115-271</v>
      </c>
      <c r="D1104" s="3" t="s">
        <v>2083</v>
      </c>
      <c r="E1104" s="3" t="s">
        <v>2101</v>
      </c>
      <c r="F1104" s="3" t="s">
        <v>2102</v>
      </c>
      <c r="G1104" s="48" t="str">
        <f>HYPERLINK("https://uscode.house.gov/view.xhtml?req=granuleid:USC-prelim-title42-section290dd-4&amp;num=0&amp;edition=prelim", "42 U.S.C. 290dd-4(f)")</f>
        <v>42 U.S.C. 290dd-4(f)</v>
      </c>
      <c r="H1104" s="46">
        <v>45199</v>
      </c>
      <c r="I1104" s="13">
        <v>2023</v>
      </c>
      <c r="J1104" s="47">
        <v>10000000</v>
      </c>
      <c r="K1104" s="16" t="s">
        <v>62</v>
      </c>
      <c r="L1104" s="3" t="s">
        <v>60</v>
      </c>
      <c r="M1104" s="3" t="s">
        <v>71</v>
      </c>
      <c r="N1104" s="3" t="s">
        <v>72</v>
      </c>
    </row>
    <row r="1105" spans="1:14" x14ac:dyDescent="0.3">
      <c r="A1105" s="36" t="s">
        <v>37</v>
      </c>
      <c r="B1105" s="13">
        <v>115</v>
      </c>
      <c r="C1105" s="48" t="str">
        <f t="shared" si="41"/>
        <v>P.L. 115-271</v>
      </c>
      <c r="D1105" s="3" t="s">
        <v>2083</v>
      </c>
      <c r="E1105" s="3" t="s">
        <v>2103</v>
      </c>
      <c r="F1105" s="3" t="s">
        <v>2104</v>
      </c>
      <c r="G1105" s="48" t="str">
        <f>HYPERLINK("https://uscode.house.gov/view.xhtml?req=granuleid:USC-prelim-title42-section290ee-6&amp;num=0&amp;edition=prelim", "42 U.S.C. 290ee-6(f)")</f>
        <v>42 U.S.C. 290ee-6(f)</v>
      </c>
      <c r="H1105" s="46">
        <v>45199</v>
      </c>
      <c r="I1105" s="13">
        <v>2023</v>
      </c>
      <c r="J1105" s="47">
        <v>4000000</v>
      </c>
      <c r="K1105" s="16" t="s">
        <v>62</v>
      </c>
      <c r="L1105" s="3" t="s">
        <v>60</v>
      </c>
      <c r="M1105" s="3" t="s">
        <v>71</v>
      </c>
      <c r="N1105" s="3" t="s">
        <v>72</v>
      </c>
    </row>
    <row r="1106" spans="1:14" x14ac:dyDescent="0.3">
      <c r="A1106" s="36" t="s">
        <v>37</v>
      </c>
      <c r="B1106" s="13">
        <v>115</v>
      </c>
      <c r="C1106" s="48" t="str">
        <f t="shared" si="41"/>
        <v>P.L. 115-271</v>
      </c>
      <c r="D1106" s="3" t="s">
        <v>2083</v>
      </c>
      <c r="E1106" s="3" t="s">
        <v>2105</v>
      </c>
      <c r="F1106" s="3" t="s">
        <v>2106</v>
      </c>
      <c r="G1106" s="48" t="str">
        <f>HYPERLINK("https://uscode.house.gov/view.xhtml?req=granuleid:USC-prelim-title42-section290bb-7a&amp;num=0&amp;edition=prelim", "42 U.S.C. 290bb-7a(c)(9)")</f>
        <v>42 U.S.C. 290bb-7a(c)(9)</v>
      </c>
      <c r="H1106" s="46">
        <v>45199</v>
      </c>
      <c r="I1106" s="13">
        <v>2023</v>
      </c>
      <c r="J1106" s="47">
        <v>10000000</v>
      </c>
      <c r="K1106" s="16" t="s">
        <v>62</v>
      </c>
      <c r="L1106" s="3" t="s">
        <v>60</v>
      </c>
      <c r="M1106" s="3" t="s">
        <v>71</v>
      </c>
      <c r="N1106" s="3" t="s">
        <v>72</v>
      </c>
    </row>
    <row r="1107" spans="1:14" x14ac:dyDescent="0.3">
      <c r="A1107" s="36" t="s">
        <v>37</v>
      </c>
      <c r="B1107" s="13">
        <v>115</v>
      </c>
      <c r="C1107" s="48" t="str">
        <f t="shared" si="41"/>
        <v>P.L. 115-271</v>
      </c>
      <c r="D1107" s="3" t="s">
        <v>2083</v>
      </c>
      <c r="E1107" s="3" t="s">
        <v>2107</v>
      </c>
      <c r="F1107" s="3" t="s">
        <v>2108</v>
      </c>
      <c r="G1107" s="48" t="str">
        <f>HYPERLINK("https://uscode.house.gov/view.xhtml?req=granuleid:USC-prelim-title42-section290dd&amp;num=0&amp;edition=prelim", "42 U.S.C. 290dd")</f>
        <v>42 U.S.C. 290dd</v>
      </c>
      <c r="H1107" s="46">
        <v>45199</v>
      </c>
      <c r="I1107" s="13">
        <v>2023</v>
      </c>
      <c r="J1107" s="47">
        <v>10000000</v>
      </c>
      <c r="K1107" s="16" t="s">
        <v>62</v>
      </c>
      <c r="L1107" s="3" t="s">
        <v>60</v>
      </c>
      <c r="M1107" s="3" t="s">
        <v>71</v>
      </c>
      <c r="N1107" s="3" t="s">
        <v>72</v>
      </c>
    </row>
    <row r="1108" spans="1:14" x14ac:dyDescent="0.3">
      <c r="A1108" s="36" t="s">
        <v>37</v>
      </c>
      <c r="B1108" s="13">
        <v>115</v>
      </c>
      <c r="C1108" s="48" t="str">
        <f t="shared" si="41"/>
        <v>P.L. 115-271</v>
      </c>
      <c r="D1108" s="3" t="s">
        <v>2083</v>
      </c>
      <c r="E1108" s="3" t="s">
        <v>2109</v>
      </c>
      <c r="F1108" s="3" t="s">
        <v>2110</v>
      </c>
      <c r="G1108" s="48" t="str">
        <f>HYPERLINK("https://uscode.house.gov/view.xhtml?req=granuleid:USC-prelim-title42-section242t&amp;num=0&amp;edition=prelim", "42 U.S.C. 242t(e)")</f>
        <v>42 U.S.C. 242t(e)</v>
      </c>
      <c r="H1108" s="46">
        <v>45199</v>
      </c>
      <c r="I1108" s="13">
        <v>2023</v>
      </c>
      <c r="J1108" s="47">
        <v>2000000</v>
      </c>
      <c r="K1108" s="16" t="s">
        <v>62</v>
      </c>
      <c r="L1108" s="3" t="s">
        <v>60</v>
      </c>
      <c r="M1108" s="3" t="s">
        <v>71</v>
      </c>
      <c r="N1108" s="3" t="s">
        <v>72</v>
      </c>
    </row>
    <row r="1109" spans="1:14" x14ac:dyDescent="0.3">
      <c r="A1109" s="36" t="s">
        <v>37</v>
      </c>
      <c r="B1109" s="13">
        <v>115</v>
      </c>
      <c r="C1109" s="48" t="str">
        <f t="shared" si="41"/>
        <v>P.L. 115-271</v>
      </c>
      <c r="D1109" s="3" t="s">
        <v>2083</v>
      </c>
      <c r="E1109" s="3" t="s">
        <v>2111</v>
      </c>
      <c r="F1109" s="3" t="s">
        <v>2112</v>
      </c>
      <c r="G1109" s="48" t="str">
        <f>HYPERLINK("https://uscode.house.gov/view.xhtml?req=granuleid:USC-prelim-title42-section290hh-1&amp;num=0&amp;edition=prelim", "42 U.S.C. 290hh-1")</f>
        <v>42 U.S.C. 290hh-1</v>
      </c>
      <c r="H1109" s="46">
        <v>45199</v>
      </c>
      <c r="I1109" s="13">
        <v>2023</v>
      </c>
      <c r="J1109" s="47">
        <v>63887000</v>
      </c>
      <c r="K1109" s="16" t="s">
        <v>62</v>
      </c>
      <c r="L1109" s="3" t="s">
        <v>60</v>
      </c>
      <c r="M1109" s="3" t="s">
        <v>71</v>
      </c>
      <c r="N1109" s="3" t="s">
        <v>72</v>
      </c>
    </row>
    <row r="1110" spans="1:14" x14ac:dyDescent="0.3">
      <c r="A1110" s="36" t="s">
        <v>37</v>
      </c>
      <c r="B1110" s="13">
        <v>115</v>
      </c>
      <c r="C1110" s="48" t="str">
        <f t="shared" si="41"/>
        <v>P.L. 115-271</v>
      </c>
      <c r="D1110" s="3" t="s">
        <v>2083</v>
      </c>
      <c r="E1110" s="3" t="s">
        <v>2113</v>
      </c>
      <c r="F1110" s="3" t="s">
        <v>2114</v>
      </c>
      <c r="G1110" s="48" t="str">
        <f>HYPERLINK("https://uscode.house.gov/view.xhtml?req=granuleid:USC-prelim-title42-section280h-7&amp;num=0&amp;edition=prelim", "42 U.S.C. 280h-7(l)")</f>
        <v>42 U.S.C. 280h-7(l)</v>
      </c>
      <c r="H1110" s="46">
        <v>45199</v>
      </c>
      <c r="I1110" s="13">
        <v>2023</v>
      </c>
      <c r="J1110" s="47">
        <v>50000000</v>
      </c>
      <c r="K1110" s="16" t="s">
        <v>62</v>
      </c>
      <c r="L1110" s="3" t="s">
        <v>60</v>
      </c>
      <c r="M1110" s="3" t="s">
        <v>71</v>
      </c>
      <c r="N1110" s="3" t="s">
        <v>72</v>
      </c>
    </row>
    <row r="1111" spans="1:14" x14ac:dyDescent="0.3">
      <c r="A1111" s="36" t="s">
        <v>37</v>
      </c>
      <c r="B1111" s="13">
        <v>115</v>
      </c>
      <c r="C1111" s="48" t="str">
        <f t="shared" si="41"/>
        <v>P.L. 115-271</v>
      </c>
      <c r="D1111" s="3" t="s">
        <v>2083</v>
      </c>
      <c r="E1111" s="3" t="s">
        <v>2115</v>
      </c>
      <c r="F1111" s="3" t="s">
        <v>2116</v>
      </c>
      <c r="G1111" s="48" t="str">
        <f>HYPERLINK("https://uscode.house.gov/view.xhtml?req=granuleid:USC-prelim-title42-section247b-15&amp;num=0&amp;edition=prelim", "42 U.S.C. 247b-15")</f>
        <v>42 U.S.C. 247b-15</v>
      </c>
      <c r="H1111" s="46">
        <v>45199</v>
      </c>
      <c r="I1111" s="13">
        <v>2023</v>
      </c>
      <c r="J1111" s="47">
        <v>40000000</v>
      </c>
      <c r="K1111" s="16" t="s">
        <v>62</v>
      </c>
      <c r="L1111" s="3" t="s">
        <v>60</v>
      </c>
      <c r="M1111" s="3" t="s">
        <v>71</v>
      </c>
      <c r="N1111" s="3" t="s">
        <v>72</v>
      </c>
    </row>
    <row r="1112" spans="1:14" x14ac:dyDescent="0.3">
      <c r="A1112" s="36" t="s">
        <v>37</v>
      </c>
      <c r="B1112" s="13">
        <v>115</v>
      </c>
      <c r="C1112" s="48" t="str">
        <f t="shared" si="41"/>
        <v>P.L. 115-271</v>
      </c>
      <c r="D1112" s="3" t="s">
        <v>2083</v>
      </c>
      <c r="E1112" s="3" t="s">
        <v>2117</v>
      </c>
      <c r="F1112" s="3" t="s">
        <v>2118</v>
      </c>
      <c r="G1112" s="48" t="str">
        <f>HYPERLINK("https://uscode.house.gov/view.xhtml?req=granuleid:USC-prelim-title42-section290ee-2&amp;num=0&amp;edition=prelim", "42 U.S.C. 290ee-2")</f>
        <v>42 U.S.C. 290ee-2</v>
      </c>
      <c r="H1112" s="46">
        <v>45199</v>
      </c>
      <c r="I1112" s="13">
        <v>2023</v>
      </c>
      <c r="J1112" s="47">
        <v>5000000</v>
      </c>
      <c r="K1112" s="16" t="s">
        <v>62</v>
      </c>
      <c r="L1112" s="3" t="s">
        <v>60</v>
      </c>
      <c r="M1112" s="3" t="s">
        <v>71</v>
      </c>
      <c r="N1112" s="3" t="s">
        <v>72</v>
      </c>
    </row>
    <row r="1113" spans="1:14" x14ac:dyDescent="0.3">
      <c r="A1113" s="36" t="s">
        <v>37</v>
      </c>
      <c r="B1113" s="13">
        <v>115</v>
      </c>
      <c r="C1113" s="48" t="str">
        <f t="shared" si="41"/>
        <v>P.L. 115-271</v>
      </c>
      <c r="D1113" s="3" t="s">
        <v>2083</v>
      </c>
      <c r="E1113" s="3" t="s">
        <v>2119</v>
      </c>
      <c r="F1113" s="3" t="s">
        <v>2120</v>
      </c>
      <c r="G1113" s="48" t="str">
        <f>HYPERLINK("https://uscode.house.gov/view.xhtml?req=granuleid:USC-prelim-title42-section280b&amp;num=0&amp;edition=prelim", "42 U.S.C. 280b")</f>
        <v>42 U.S.C. 280b</v>
      </c>
      <c r="H1113" s="46">
        <v>45199</v>
      </c>
      <c r="I1113" s="13">
        <v>2023</v>
      </c>
      <c r="J1113" s="47">
        <v>496000000</v>
      </c>
      <c r="K1113" s="16" t="s">
        <v>62</v>
      </c>
      <c r="L1113" s="3" t="s">
        <v>60</v>
      </c>
      <c r="M1113" s="3" t="s">
        <v>71</v>
      </c>
      <c r="N1113" s="3" t="s">
        <v>72</v>
      </c>
    </row>
    <row r="1114" spans="1:14" x14ac:dyDescent="0.3">
      <c r="A1114" s="36" t="s">
        <v>37</v>
      </c>
      <c r="B1114" s="13">
        <v>115</v>
      </c>
      <c r="C1114" s="48" t="str">
        <f t="shared" si="41"/>
        <v>P.L. 115-271</v>
      </c>
      <c r="D1114" s="3" t="s">
        <v>2083</v>
      </c>
      <c r="E1114" s="3" t="s">
        <v>2121</v>
      </c>
      <c r="F1114" s="3" t="s">
        <v>2122</v>
      </c>
      <c r="G1114" s="48" t="str">
        <f>HYPERLINK("https://uscode.house.gov/view.xhtml?req=granuleid:USC-prelim-title42-section290ee-2a&amp;num=0&amp;edition=prelim", "42 U.S.C. 290ee-2a(e)")</f>
        <v>42 U.S.C. 290ee-2a(e)</v>
      </c>
      <c r="H1114" s="46">
        <v>45199</v>
      </c>
      <c r="I1114" s="13">
        <v>2023</v>
      </c>
      <c r="J1114" s="47">
        <v>1000000</v>
      </c>
      <c r="K1114" s="16" t="s">
        <v>62</v>
      </c>
      <c r="L1114" s="3" t="s">
        <v>60</v>
      </c>
      <c r="M1114" s="3" t="s">
        <v>71</v>
      </c>
      <c r="N1114" s="3" t="s">
        <v>72</v>
      </c>
    </row>
    <row r="1115" spans="1:14" x14ac:dyDescent="0.3">
      <c r="A1115" s="36" t="s">
        <v>37</v>
      </c>
      <c r="B1115" s="13">
        <v>115</v>
      </c>
      <c r="C1115" s="48" t="str">
        <f t="shared" si="41"/>
        <v>P.L. 115-271</v>
      </c>
      <c r="D1115" s="3" t="s">
        <v>2083</v>
      </c>
      <c r="E1115" s="3" t="s">
        <v>2123</v>
      </c>
      <c r="F1115" s="3" t="s">
        <v>2124</v>
      </c>
      <c r="G1115" s="48" t="str">
        <f>HYPERLINK("https://uscode.house.gov/view.xhtml?req=granuleid:USC-prelim-title42-section290ee-8&amp;num=0&amp;edition=prelim", "42 U.S.C. 290ee-8(k)")</f>
        <v>42 U.S.C. 290ee-8(k)</v>
      </c>
      <c r="H1115" s="46">
        <v>45199</v>
      </c>
      <c r="I1115" s="13">
        <v>2023</v>
      </c>
      <c r="J1115" s="47">
        <v>5000000</v>
      </c>
      <c r="K1115" s="16" t="s">
        <v>62</v>
      </c>
      <c r="L1115" s="3" t="s">
        <v>60</v>
      </c>
      <c r="M1115" s="3" t="s">
        <v>71</v>
      </c>
      <c r="N1115" s="3" t="s">
        <v>72</v>
      </c>
    </row>
    <row r="1116" spans="1:14" x14ac:dyDescent="0.3">
      <c r="A1116" s="36" t="s">
        <v>37</v>
      </c>
      <c r="B1116" s="13">
        <v>115</v>
      </c>
      <c r="C1116" s="48" t="str">
        <f t="shared" si="41"/>
        <v>P.L. 115-271</v>
      </c>
      <c r="D1116" s="3" t="s">
        <v>2083</v>
      </c>
      <c r="E1116" s="3" t="s">
        <v>2125</v>
      </c>
      <c r="F1116" s="3" t="s">
        <v>2126</v>
      </c>
      <c r="G1116" s="48" t="str">
        <f>HYPERLINK("https://uscode.house.gov/view.xhtml?req=granuleid:USC-prelim-title29-section3225a&amp;num=0&amp;edition=prelim", "29 U.S.C. 3225a(g)")</f>
        <v>29 U.S.C. 3225a(g)</v>
      </c>
      <c r="H1116" s="46">
        <v>44104</v>
      </c>
      <c r="I1116" s="13">
        <v>2020</v>
      </c>
      <c r="J1116" s="47">
        <v>100000000</v>
      </c>
      <c r="K1116" s="47">
        <v>1095553000</v>
      </c>
      <c r="L1116" s="3" t="s">
        <v>60</v>
      </c>
      <c r="M1116" s="3" t="s">
        <v>71</v>
      </c>
      <c r="N1116" s="3" t="s">
        <v>72</v>
      </c>
    </row>
    <row r="1117" spans="1:14" x14ac:dyDescent="0.3">
      <c r="A1117" s="36" t="s">
        <v>37</v>
      </c>
      <c r="B1117" s="13">
        <v>115</v>
      </c>
      <c r="C1117" s="48" t="str">
        <f t="shared" si="41"/>
        <v>P.L. 115-271</v>
      </c>
      <c r="D1117" s="3" t="s">
        <v>2083</v>
      </c>
      <c r="E1117" s="3" t="s">
        <v>2127</v>
      </c>
      <c r="F1117" s="3" t="s">
        <v>2128</v>
      </c>
      <c r="G1117" s="48" t="str">
        <f>HYPERLINK("https://uscode.house.gov/view.xhtml?req=granuleid:USC-prelim-title34-section10261&amp;num=0&amp;edition=prelim", "34 U.S.C. 10261(a)(27)")</f>
        <v>34 U.S.C. 10261(a)(27)</v>
      </c>
      <c r="H1117" s="46">
        <v>45199</v>
      </c>
      <c r="I1117" s="13">
        <v>2023</v>
      </c>
      <c r="J1117" s="47">
        <v>330000000</v>
      </c>
      <c r="K1117" s="16" t="s">
        <v>62</v>
      </c>
      <c r="L1117" s="3" t="s">
        <v>41</v>
      </c>
      <c r="M1117" s="3" t="s">
        <v>42</v>
      </c>
      <c r="N1117" s="3" t="s">
        <v>43</v>
      </c>
    </row>
    <row r="1118" spans="1:14" x14ac:dyDescent="0.3">
      <c r="A1118" s="36" t="s">
        <v>37</v>
      </c>
      <c r="B1118" s="13">
        <v>115</v>
      </c>
      <c r="C1118" s="48" t="str">
        <f t="shared" si="41"/>
        <v>P.L. 115-271</v>
      </c>
      <c r="D1118" s="3" t="s">
        <v>2083</v>
      </c>
      <c r="E1118" s="3" t="s">
        <v>2129</v>
      </c>
      <c r="F1118" s="3" t="s">
        <v>2130</v>
      </c>
      <c r="G1118" s="48" t="str">
        <f>HYPERLINK("https://uscode.house.gov/view.xhtml?req=granuleid:USC-prelim-title21-section1711&amp;num=0&amp;edition=prelim", "21 U.S.C. 1711")</f>
        <v>21 U.S.C. 1711</v>
      </c>
      <c r="H1118" s="46">
        <v>45199</v>
      </c>
      <c r="I1118" s="13">
        <v>2023</v>
      </c>
      <c r="J1118" s="47">
        <v>18400000</v>
      </c>
      <c r="K1118" s="16" t="s">
        <v>62</v>
      </c>
      <c r="L1118" s="3" t="s">
        <v>229</v>
      </c>
      <c r="M1118" s="3" t="s">
        <v>42</v>
      </c>
      <c r="N1118" s="3" t="s">
        <v>55</v>
      </c>
    </row>
    <row r="1119" spans="1:14" x14ac:dyDescent="0.3">
      <c r="A1119" s="36" t="s">
        <v>37</v>
      </c>
      <c r="B1119" s="13">
        <v>115</v>
      </c>
      <c r="C1119" s="48" t="str">
        <f t="shared" si="41"/>
        <v>P.L. 115-271</v>
      </c>
      <c r="D1119" s="3" t="s">
        <v>2083</v>
      </c>
      <c r="E1119" s="3" t="s">
        <v>2131</v>
      </c>
      <c r="F1119" s="3" t="s">
        <v>2132</v>
      </c>
      <c r="G1119" s="48" t="str">
        <f>HYPERLINK("https://uscode.house.gov/view.xhtml?req=granuleid:USC-prelim-title21-section1524&amp;num=0&amp;edition=prelim", "21 U.S.C. 1524(a)")</f>
        <v>21 U.S.C. 1524(a)</v>
      </c>
      <c r="H1119" s="46">
        <v>45199</v>
      </c>
      <c r="I1119" s="13">
        <v>2023</v>
      </c>
      <c r="J1119" s="47">
        <v>99000000</v>
      </c>
      <c r="K1119" s="16" t="s">
        <v>62</v>
      </c>
      <c r="L1119" s="3" t="s">
        <v>229</v>
      </c>
      <c r="M1119" s="3" t="s">
        <v>42</v>
      </c>
      <c r="N1119" s="3" t="s">
        <v>55</v>
      </c>
    </row>
    <row r="1120" spans="1:14" x14ac:dyDescent="0.3">
      <c r="A1120" s="36" t="s">
        <v>37</v>
      </c>
      <c r="B1120" s="13">
        <v>115</v>
      </c>
      <c r="C1120" s="48" t="str">
        <f t="shared" si="41"/>
        <v>P.L. 115-271</v>
      </c>
      <c r="D1120" s="3" t="s">
        <v>2083</v>
      </c>
      <c r="E1120" s="3" t="s">
        <v>2133</v>
      </c>
      <c r="F1120" s="3" t="s">
        <v>2134</v>
      </c>
      <c r="G1120" s="48" t="str">
        <f>HYPERLINK("https://uscode.house.gov/view.xhtml?req=granuleid:USC-prelim-title21-section1706&amp;num=0&amp;edition=prelim", "21 U.S.C. 1706(p)")</f>
        <v>21 U.S.C. 1706(p)</v>
      </c>
      <c r="H1120" s="46">
        <v>45199</v>
      </c>
      <c r="I1120" s="13">
        <v>2023</v>
      </c>
      <c r="J1120" s="47">
        <v>280000000</v>
      </c>
      <c r="K1120" s="16" t="s">
        <v>62</v>
      </c>
      <c r="L1120" s="3" t="s">
        <v>229</v>
      </c>
      <c r="M1120" s="3" t="s">
        <v>42</v>
      </c>
      <c r="N1120" s="3" t="s">
        <v>55</v>
      </c>
    </row>
    <row r="1121" spans="1:14" x14ac:dyDescent="0.3">
      <c r="A1121" s="36" t="s">
        <v>37</v>
      </c>
      <c r="B1121" s="13">
        <v>115</v>
      </c>
      <c r="C1121" s="48" t="str">
        <f t="shared" si="41"/>
        <v>P.L. 115-271</v>
      </c>
      <c r="D1121" s="3" t="s">
        <v>2083</v>
      </c>
      <c r="E1121" s="3" t="s">
        <v>2135</v>
      </c>
      <c r="F1121" s="3" t="s">
        <v>2136</v>
      </c>
      <c r="G1121" s="48" t="str">
        <f>HYPERLINK("https://uscode.house.gov/view.xhtml?req=granuleid:USC-prelim-title34-section10261&amp;num=0&amp;edition=prelim", "34 U.S.C. 10261(a)(25)")</f>
        <v>34 U.S.C. 10261(a)(25)</v>
      </c>
      <c r="H1121" s="46">
        <v>45199</v>
      </c>
      <c r="I1121" s="13">
        <v>2023</v>
      </c>
      <c r="J1121" s="47">
        <v>75000000</v>
      </c>
      <c r="K1121" s="16" t="s">
        <v>62</v>
      </c>
      <c r="L1121" s="3" t="s">
        <v>41</v>
      </c>
      <c r="M1121" s="3" t="s">
        <v>42</v>
      </c>
      <c r="N1121" s="3" t="s">
        <v>43</v>
      </c>
    </row>
    <row r="1122" spans="1:14" x14ac:dyDescent="0.3">
      <c r="A1122" s="36" t="s">
        <v>37</v>
      </c>
      <c r="B1122" s="13">
        <v>115</v>
      </c>
      <c r="C1122" s="48" t="str">
        <f t="shared" si="41"/>
        <v>P.L. 115-271</v>
      </c>
      <c r="D1122" s="3" t="s">
        <v>2083</v>
      </c>
      <c r="E1122" s="3" t="s">
        <v>2137</v>
      </c>
      <c r="F1122" s="3" t="s">
        <v>2138</v>
      </c>
      <c r="G1122" s="48" t="str">
        <f>HYPERLINK("https://uscode.house.gov/view.xhtml?req=granuleid:USC-prelim-title21-section1704&amp;num=0&amp;edition=prelim", "21 U.S.C. 1704(e)")</f>
        <v>21 U.S.C. 1704(e)</v>
      </c>
      <c r="H1122" s="46">
        <v>45199</v>
      </c>
      <c r="I1122" s="13">
        <v>2023</v>
      </c>
      <c r="J1122" s="47">
        <v>2000000</v>
      </c>
      <c r="K1122" s="16" t="s">
        <v>62</v>
      </c>
      <c r="L1122" s="3" t="s">
        <v>229</v>
      </c>
      <c r="M1122" s="3" t="s">
        <v>42</v>
      </c>
      <c r="N1122" s="3" t="s">
        <v>55</v>
      </c>
    </row>
    <row r="1123" spans="1:14" x14ac:dyDescent="0.3">
      <c r="A1123" s="36" t="s">
        <v>37</v>
      </c>
      <c r="B1123" s="13">
        <v>115</v>
      </c>
      <c r="C1123" s="48" t="str">
        <f t="shared" si="41"/>
        <v>P.L. 115-271</v>
      </c>
      <c r="D1123" s="3" t="s">
        <v>2083</v>
      </c>
      <c r="F1123" s="3" t="s">
        <v>2139</v>
      </c>
      <c r="G1123" s="49"/>
      <c r="H1123" s="46">
        <v>45199</v>
      </c>
      <c r="I1123" s="13">
        <v>2023</v>
      </c>
      <c r="J1123" s="47">
        <v>1250000</v>
      </c>
      <c r="K1123" s="16" t="s">
        <v>62</v>
      </c>
      <c r="L1123" s="3" t="s">
        <v>229</v>
      </c>
      <c r="M1123" s="3" t="s">
        <v>42</v>
      </c>
      <c r="N1123" s="3" t="s">
        <v>55</v>
      </c>
    </row>
    <row r="1124" spans="1:14" x14ac:dyDescent="0.3">
      <c r="A1124" s="36" t="s">
        <v>37</v>
      </c>
      <c r="B1124" s="13">
        <v>115</v>
      </c>
      <c r="C1124" s="48" t="str">
        <f t="shared" si="41"/>
        <v>P.L. 115-271</v>
      </c>
      <c r="D1124" s="3" t="s">
        <v>2083</v>
      </c>
      <c r="E1124" s="3" t="s">
        <v>2140</v>
      </c>
      <c r="F1124" s="3" t="s">
        <v>2141</v>
      </c>
      <c r="G1124" s="48" t="str">
        <f>HYPERLINK("https://uscode.house.gov/view.xhtml?req=granuleid:USC-prelim-title21-section1708&amp;num=0&amp;edition=prelim", "21 U.S.C. 1708")</f>
        <v>21 U.S.C. 1708</v>
      </c>
      <c r="H1124" s="46">
        <v>45199</v>
      </c>
      <c r="I1124" s="13">
        <v>2023</v>
      </c>
      <c r="J1124" s="47">
        <v>25000000</v>
      </c>
      <c r="K1124" s="16" t="s">
        <v>62</v>
      </c>
      <c r="L1124" s="3" t="s">
        <v>229</v>
      </c>
      <c r="M1124" s="3" t="s">
        <v>42</v>
      </c>
      <c r="N1124" s="3" t="s">
        <v>55</v>
      </c>
    </row>
    <row r="1125" spans="1:14" x14ac:dyDescent="0.3">
      <c r="A1125" s="36" t="s">
        <v>37</v>
      </c>
      <c r="B1125" s="13">
        <v>115</v>
      </c>
      <c r="C1125" s="48" t="str">
        <f t="shared" si="41"/>
        <v>P.L. 115-271</v>
      </c>
      <c r="D1125" s="3" t="s">
        <v>2083</v>
      </c>
      <c r="E1125" s="3" t="s">
        <v>2142</v>
      </c>
      <c r="F1125" s="3" t="s">
        <v>2143</v>
      </c>
      <c r="G1125" s="48" t="str">
        <f>HYPERLINK("https://uscode.house.gov/view.xhtml?req=granuleid:USC-prelim-title42-section280g-3&amp;num=0&amp;edition=prelim", "42 U.S.C. 280g-3")</f>
        <v>42 U.S.C. 280g-3</v>
      </c>
      <c r="H1125" s="46">
        <v>45199</v>
      </c>
      <c r="I1125" s="13">
        <v>2023</v>
      </c>
      <c r="J1125" s="16" t="s">
        <v>12</v>
      </c>
      <c r="K1125" s="16" t="s">
        <v>62</v>
      </c>
      <c r="L1125" s="3" t="s">
        <v>60</v>
      </c>
      <c r="M1125" s="3" t="s">
        <v>71</v>
      </c>
      <c r="N1125" s="3" t="s">
        <v>72</v>
      </c>
    </row>
    <row r="1126" spans="1:14" x14ac:dyDescent="0.3">
      <c r="A1126" s="36" t="s">
        <v>37</v>
      </c>
      <c r="B1126" s="13">
        <v>115</v>
      </c>
      <c r="C1126" s="48" t="str">
        <f t="shared" si="41"/>
        <v>P.L. 115-271</v>
      </c>
      <c r="D1126" s="3" t="s">
        <v>2083</v>
      </c>
      <c r="E1126" s="3" t="s">
        <v>2142</v>
      </c>
      <c r="F1126" s="3" t="s">
        <v>2144</v>
      </c>
      <c r="G1126" s="48" t="str">
        <f>HYPERLINK("https://uscode.house.gov/view.xhtml?req=granuleid:USC-prelim-title42-section290bb-25g&amp;num=0&amp;edition=prelim", "42 U.S.C. 290bb-25g")</f>
        <v>42 U.S.C. 290bb-25g</v>
      </c>
      <c r="H1126" s="46">
        <v>45199</v>
      </c>
      <c r="I1126" s="13">
        <v>2023</v>
      </c>
      <c r="J1126" s="16" t="s">
        <v>12</v>
      </c>
      <c r="K1126" s="16" t="s">
        <v>62</v>
      </c>
      <c r="L1126" s="3" t="s">
        <v>60</v>
      </c>
      <c r="M1126" s="3" t="s">
        <v>71</v>
      </c>
      <c r="N1126" s="3" t="s">
        <v>72</v>
      </c>
    </row>
    <row r="1127" spans="1:14" x14ac:dyDescent="0.3">
      <c r="A1127" s="36" t="s">
        <v>37</v>
      </c>
      <c r="B1127" s="13">
        <v>115</v>
      </c>
      <c r="C1127" s="48" t="str">
        <f t="shared" si="41"/>
        <v>P.L. 115-271</v>
      </c>
      <c r="D1127" s="3" t="s">
        <v>2083</v>
      </c>
      <c r="E1127" s="3" t="s">
        <v>2145</v>
      </c>
      <c r="F1127" s="3" t="s">
        <v>2146</v>
      </c>
      <c r="G1127" s="48" t="str">
        <f>HYPERLINK("https://uscode.house.gov/view.xhtml?req=granuleid:USC-prelim-title42-section290bb-11&amp;num=0&amp;edition=prelim", "42 U.S.C. 290bb-11(C)")</f>
        <v>42 U.S.C. 290bb-11(C)</v>
      </c>
      <c r="H1127" s="46">
        <v>45199</v>
      </c>
      <c r="I1127" s="13">
        <v>2023</v>
      </c>
      <c r="J1127" s="47">
        <v>20000000</v>
      </c>
      <c r="K1127" s="16" t="s">
        <v>62</v>
      </c>
      <c r="L1127" s="3" t="s">
        <v>60</v>
      </c>
      <c r="M1127" s="3" t="s">
        <v>418</v>
      </c>
      <c r="N1127" s="3" t="s">
        <v>72</v>
      </c>
    </row>
    <row r="1128" spans="1:14" x14ac:dyDescent="0.3">
      <c r="A1128" s="36" t="s">
        <v>37</v>
      </c>
      <c r="B1128" s="13">
        <v>115</v>
      </c>
      <c r="C1128" s="48" t="str">
        <f t="shared" si="41"/>
        <v>P.L. 115-271</v>
      </c>
      <c r="D1128" s="3" t="s">
        <v>2083</v>
      </c>
      <c r="F1128" s="3" t="s">
        <v>2147</v>
      </c>
      <c r="G1128" s="49"/>
      <c r="H1128" s="46">
        <v>45199</v>
      </c>
      <c r="I1128" s="13">
        <v>2023</v>
      </c>
      <c r="J1128" s="16" t="s">
        <v>12</v>
      </c>
      <c r="K1128" s="16" t="s">
        <v>62</v>
      </c>
      <c r="L1128" s="3" t="s">
        <v>156</v>
      </c>
      <c r="M1128" s="3" t="s">
        <v>157</v>
      </c>
      <c r="N1128" s="3" t="s">
        <v>158</v>
      </c>
    </row>
    <row r="1129" spans="1:14" x14ac:dyDescent="0.3">
      <c r="A1129" s="36" t="s">
        <v>37</v>
      </c>
      <c r="B1129" s="13">
        <v>115</v>
      </c>
      <c r="C1129" s="48" t="str">
        <f t="shared" si="41"/>
        <v>P.L. 115-271</v>
      </c>
      <c r="D1129" s="3" t="s">
        <v>2083</v>
      </c>
      <c r="E1129" s="3" t="s">
        <v>2148</v>
      </c>
      <c r="F1129" s="3" t="s">
        <v>2149</v>
      </c>
      <c r="G1129" s="48" t="str">
        <f>HYPERLINK("https://uscode.house.gov/view.xhtml?req=granuleid:USC-prelim-title21-section1521&amp;num=0&amp;edition=prelim", "21 U.S.C. 1521(note)")</f>
        <v>21 U.S.C. 1521(note)</v>
      </c>
      <c r="H1129" s="46">
        <v>45199</v>
      </c>
      <c r="I1129" s="13">
        <v>2023</v>
      </c>
      <c r="J1129" s="47">
        <v>2000000</v>
      </c>
      <c r="K1129" s="16" t="s">
        <v>62</v>
      </c>
      <c r="L1129" s="3" t="s">
        <v>41</v>
      </c>
      <c r="M1129" s="3" t="s">
        <v>42</v>
      </c>
      <c r="N1129" s="3" t="s">
        <v>43</v>
      </c>
    </row>
    <row r="1130" spans="1:14" x14ac:dyDescent="0.3">
      <c r="A1130" s="36" t="s">
        <v>37</v>
      </c>
      <c r="B1130" s="13">
        <v>115</v>
      </c>
      <c r="C1130" s="48" t="str">
        <f t="shared" ref="C1130:C1140" si="42">HYPERLINK("https://uscode.house.gov/statutes/pl/115/282.pdf", "P.L. 115-282")</f>
        <v>P.L. 115-282</v>
      </c>
      <c r="D1130" s="3" t="s">
        <v>2150</v>
      </c>
      <c r="E1130" s="3" t="s">
        <v>659</v>
      </c>
      <c r="F1130" s="3" t="s">
        <v>2151</v>
      </c>
      <c r="G1130" s="49"/>
      <c r="H1130" s="46">
        <v>43738</v>
      </c>
      <c r="I1130" s="13">
        <v>2019</v>
      </c>
      <c r="J1130" s="47">
        <v>167500000</v>
      </c>
      <c r="K1130" s="47">
        <v>62000000</v>
      </c>
      <c r="L1130" s="3" t="s">
        <v>109</v>
      </c>
      <c r="M1130" s="3" t="s">
        <v>148</v>
      </c>
      <c r="N1130" s="3" t="s">
        <v>122</v>
      </c>
    </row>
    <row r="1131" spans="1:14" x14ac:dyDescent="0.3">
      <c r="A1131" s="36" t="s">
        <v>37</v>
      </c>
      <c r="B1131" s="13">
        <v>115</v>
      </c>
      <c r="C1131" s="48" t="str">
        <f t="shared" si="42"/>
        <v>P.L. 115-282</v>
      </c>
      <c r="D1131" s="3" t="s">
        <v>2150</v>
      </c>
      <c r="E1131" s="3" t="s">
        <v>899</v>
      </c>
      <c r="F1131" s="3" t="s">
        <v>2152</v>
      </c>
      <c r="G1131" s="49"/>
      <c r="H1131" s="46">
        <v>43738</v>
      </c>
      <c r="I1131" s="13">
        <v>2019</v>
      </c>
      <c r="J1131" s="47">
        <v>167500000</v>
      </c>
      <c r="K1131" s="16" t="s">
        <v>62</v>
      </c>
      <c r="L1131" s="3" t="s">
        <v>109</v>
      </c>
      <c r="M1131" s="3" t="s">
        <v>148</v>
      </c>
      <c r="N1131" s="3" t="s">
        <v>122</v>
      </c>
    </row>
    <row r="1132" spans="1:14" x14ac:dyDescent="0.3">
      <c r="A1132" s="36" t="s">
        <v>37</v>
      </c>
      <c r="B1132" s="13">
        <v>115</v>
      </c>
      <c r="C1132" s="48" t="str">
        <f t="shared" si="42"/>
        <v>P.L. 115-282</v>
      </c>
      <c r="D1132" s="3" t="s">
        <v>2150</v>
      </c>
      <c r="E1132" s="3" t="s">
        <v>661</v>
      </c>
      <c r="F1132" s="3" t="s">
        <v>2153</v>
      </c>
      <c r="G1132" s="49"/>
      <c r="H1132" s="46">
        <v>43738</v>
      </c>
      <c r="I1132" s="13">
        <v>2019</v>
      </c>
      <c r="J1132" s="47">
        <v>3500000</v>
      </c>
      <c r="K1132" s="16" t="s">
        <v>62</v>
      </c>
      <c r="L1132" s="3" t="s">
        <v>109</v>
      </c>
      <c r="M1132" s="3" t="s">
        <v>148</v>
      </c>
      <c r="N1132" s="3" t="s">
        <v>122</v>
      </c>
    </row>
    <row r="1133" spans="1:14" x14ac:dyDescent="0.3">
      <c r="A1133" s="36" t="s">
        <v>37</v>
      </c>
      <c r="B1133" s="13">
        <v>115</v>
      </c>
      <c r="C1133" s="48" t="str">
        <f t="shared" si="42"/>
        <v>P.L. 115-282</v>
      </c>
      <c r="D1133" s="3" t="s">
        <v>2150</v>
      </c>
      <c r="E1133" s="3" t="s">
        <v>2154</v>
      </c>
      <c r="F1133" s="3" t="s">
        <v>2155</v>
      </c>
      <c r="G1133" s="48" t="str">
        <f>HYPERLINK("https://uscode.house.gov/view.xhtml?req=granuleid:USC-prelim-title16-section4730&amp;num=0&amp;edition=prelim", "16 U.S.C. 4730(7)")</f>
        <v>16 U.S.C. 4730(7)</v>
      </c>
      <c r="H1133" s="46">
        <v>45199</v>
      </c>
      <c r="I1133" s="13">
        <v>2023</v>
      </c>
      <c r="J1133" s="47">
        <v>50000000</v>
      </c>
      <c r="K1133" s="16" t="s">
        <v>62</v>
      </c>
      <c r="L1133" s="3" t="s">
        <v>109</v>
      </c>
      <c r="M1133" s="3" t="s">
        <v>67</v>
      </c>
      <c r="N1133" s="3" t="s">
        <v>49</v>
      </c>
    </row>
    <row r="1134" spans="1:14" x14ac:dyDescent="0.3">
      <c r="A1134" s="36" t="s">
        <v>37</v>
      </c>
      <c r="B1134" s="13">
        <v>115</v>
      </c>
      <c r="C1134" s="48" t="str">
        <f t="shared" si="42"/>
        <v>P.L. 115-282</v>
      </c>
      <c r="D1134" s="3" t="s">
        <v>2150</v>
      </c>
      <c r="E1134" s="3" t="s">
        <v>2156</v>
      </c>
      <c r="F1134" s="3" t="s">
        <v>2157</v>
      </c>
      <c r="G1134" s="48" t="str">
        <f>HYPERLINK("https://uscode.house.gov/view.xhtml?req=granuleid:USC-prelim-title33-section892d&amp;num=0&amp;edition=prelim", "33 U.S.C. 892d(1)")</f>
        <v>33 U.S.C. 892d(1)</v>
      </c>
      <c r="H1134" s="46">
        <v>45199</v>
      </c>
      <c r="I1134" s="13">
        <v>2023</v>
      </c>
      <c r="J1134" s="47">
        <v>70814000</v>
      </c>
      <c r="K1134" s="16" t="s">
        <v>62</v>
      </c>
      <c r="L1134" s="3" t="s">
        <v>47</v>
      </c>
      <c r="M1134" s="3" t="s">
        <v>148</v>
      </c>
      <c r="N1134" s="3" t="s">
        <v>43</v>
      </c>
    </row>
    <row r="1135" spans="1:14" x14ac:dyDescent="0.3">
      <c r="A1135" s="36" t="s">
        <v>37</v>
      </c>
      <c r="B1135" s="13">
        <v>115</v>
      </c>
      <c r="C1135" s="48" t="str">
        <f t="shared" si="42"/>
        <v>P.L. 115-282</v>
      </c>
      <c r="D1135" s="3" t="s">
        <v>2150</v>
      </c>
      <c r="E1135" s="3" t="s">
        <v>2156</v>
      </c>
      <c r="F1135" s="3" t="s">
        <v>2158</v>
      </c>
      <c r="G1135" s="48" t="str">
        <f>HYPERLINK("https://uscode.house.gov/view.xhtml?req=granuleid:USC-prelim-title33-section892d&amp;num=0&amp;edition=prelim", "33 U.S.C. 892d(2)")</f>
        <v>33 U.S.C. 892d(2)</v>
      </c>
      <c r="H1135" s="46">
        <v>45199</v>
      </c>
      <c r="I1135" s="13">
        <v>2023</v>
      </c>
      <c r="J1135" s="47">
        <v>25000000</v>
      </c>
      <c r="K1135" s="16" t="s">
        <v>62</v>
      </c>
      <c r="L1135" s="3" t="s">
        <v>47</v>
      </c>
      <c r="M1135" s="3" t="s">
        <v>148</v>
      </c>
      <c r="N1135" s="3" t="s">
        <v>43</v>
      </c>
    </row>
    <row r="1136" spans="1:14" x14ac:dyDescent="0.3">
      <c r="A1136" s="36" t="s">
        <v>37</v>
      </c>
      <c r="B1136" s="13">
        <v>115</v>
      </c>
      <c r="C1136" s="48" t="str">
        <f t="shared" si="42"/>
        <v>P.L. 115-282</v>
      </c>
      <c r="D1136" s="3" t="s">
        <v>2150</v>
      </c>
      <c r="E1136" s="3" t="s">
        <v>2156</v>
      </c>
      <c r="F1136" s="3" t="s">
        <v>2159</v>
      </c>
      <c r="G1136" s="48" t="str">
        <f>HYPERLINK("https://uscode.house.gov/view.xhtml?req=granuleid:USC-prelim-title33-section892d&amp;num=0&amp;edition=prelim", "33 U.S.C. 892d(3)")</f>
        <v>33 U.S.C. 892d(3)</v>
      </c>
      <c r="H1136" s="46">
        <v>45199</v>
      </c>
      <c r="I1136" s="13">
        <v>2023</v>
      </c>
      <c r="J1136" s="47">
        <v>29932000</v>
      </c>
      <c r="K1136" s="16" t="s">
        <v>62</v>
      </c>
      <c r="L1136" s="3" t="s">
        <v>47</v>
      </c>
      <c r="M1136" s="3" t="s">
        <v>148</v>
      </c>
      <c r="N1136" s="3" t="s">
        <v>43</v>
      </c>
    </row>
    <row r="1137" spans="1:14" x14ac:dyDescent="0.3">
      <c r="A1137" s="36" t="s">
        <v>37</v>
      </c>
      <c r="B1137" s="13">
        <v>115</v>
      </c>
      <c r="C1137" s="48" t="str">
        <f t="shared" si="42"/>
        <v>P.L. 115-282</v>
      </c>
      <c r="D1137" s="3" t="s">
        <v>2150</v>
      </c>
      <c r="E1137" s="3" t="s">
        <v>2156</v>
      </c>
      <c r="F1137" s="3" t="s">
        <v>2160</v>
      </c>
      <c r="G1137" s="48" t="str">
        <f>HYPERLINK("https://uscode.house.gov/view.xhtml?req=granuleid:USC-prelim-title33-section892d&amp;num=0&amp;edition=prelim", "33 U.S.C. 892d(4)")</f>
        <v>33 U.S.C. 892d(4)</v>
      </c>
      <c r="H1137" s="46">
        <v>45199</v>
      </c>
      <c r="I1137" s="13">
        <v>2023</v>
      </c>
      <c r="J1137" s="47">
        <v>26800000</v>
      </c>
      <c r="K1137" s="16" t="s">
        <v>62</v>
      </c>
      <c r="L1137" s="3" t="s">
        <v>47</v>
      </c>
      <c r="M1137" s="3" t="s">
        <v>148</v>
      </c>
      <c r="N1137" s="3" t="s">
        <v>43</v>
      </c>
    </row>
    <row r="1138" spans="1:14" x14ac:dyDescent="0.3">
      <c r="A1138" s="36" t="s">
        <v>37</v>
      </c>
      <c r="B1138" s="13">
        <v>115</v>
      </c>
      <c r="C1138" s="48" t="str">
        <f t="shared" si="42"/>
        <v>P.L. 115-282</v>
      </c>
      <c r="D1138" s="3" t="s">
        <v>2150</v>
      </c>
      <c r="E1138" s="3" t="s">
        <v>2156</v>
      </c>
      <c r="F1138" s="3" t="s">
        <v>2161</v>
      </c>
      <c r="G1138" s="48" t="str">
        <f>HYPERLINK("https://uscode.house.gov/view.xhtml?req=granuleid:USC-prelim-title33-section892d&amp;num=0&amp;edition=prelim", "33 U.S.C. 892d(5)")</f>
        <v>33 U.S.C. 892d(5)</v>
      </c>
      <c r="H1138" s="46">
        <v>45199</v>
      </c>
      <c r="I1138" s="13">
        <v>2023</v>
      </c>
      <c r="J1138" s="47">
        <v>30564000</v>
      </c>
      <c r="K1138" s="16" t="s">
        <v>62</v>
      </c>
      <c r="L1138" s="3" t="s">
        <v>47</v>
      </c>
      <c r="M1138" s="3" t="s">
        <v>148</v>
      </c>
      <c r="N1138" s="3" t="s">
        <v>43</v>
      </c>
    </row>
    <row r="1139" spans="1:14" x14ac:dyDescent="0.3">
      <c r="A1139" s="36" t="s">
        <v>37</v>
      </c>
      <c r="B1139" s="13">
        <v>115</v>
      </c>
      <c r="C1139" s="48" t="str">
        <f t="shared" si="42"/>
        <v>P.L. 115-282</v>
      </c>
      <c r="D1139" s="3" t="s">
        <v>2150</v>
      </c>
      <c r="E1139" s="3" t="s">
        <v>2156</v>
      </c>
      <c r="F1139" s="3" t="s">
        <v>2162</v>
      </c>
      <c r="G1139" s="48" t="str">
        <f>HYPERLINK("https://uscode.house.gov/view.xhtml?req=granuleid:USC-prelim-title33-section892d&amp;num=0&amp;edition=prelim", "33 U.S.C. 892d(b)")</f>
        <v>33 U.S.C. 892d(b)</v>
      </c>
      <c r="H1139" s="46">
        <v>45199</v>
      </c>
      <c r="I1139" s="13">
        <v>2023</v>
      </c>
      <c r="J1139" s="47">
        <v>10000000</v>
      </c>
      <c r="K1139" s="16" t="s">
        <v>62</v>
      </c>
      <c r="L1139" s="3" t="s">
        <v>47</v>
      </c>
      <c r="M1139" s="3" t="s">
        <v>148</v>
      </c>
      <c r="N1139" s="3" t="s">
        <v>43</v>
      </c>
    </row>
    <row r="1140" spans="1:14" x14ac:dyDescent="0.3">
      <c r="A1140" s="36" t="s">
        <v>37</v>
      </c>
      <c r="B1140" s="13">
        <v>115</v>
      </c>
      <c r="C1140" s="48" t="str">
        <f t="shared" si="42"/>
        <v>P.L. 115-282</v>
      </c>
      <c r="D1140" s="3" t="s">
        <v>2150</v>
      </c>
      <c r="E1140" s="3" t="s">
        <v>2156</v>
      </c>
      <c r="F1140" s="3" t="s">
        <v>2163</v>
      </c>
      <c r="G1140" s="48" t="str">
        <f>HYPERLINK("https://uscode.house.gov/view.xhtml?req=granuleid:USC-prelim-title33-section892d&amp;num=0&amp;edition=prelim", "33 U.S.C. 892d(b)")</f>
        <v>33 U.S.C. 892d(b)</v>
      </c>
      <c r="H1140" s="46">
        <v>43738</v>
      </c>
      <c r="I1140" s="13">
        <v>2019</v>
      </c>
      <c r="J1140" s="47">
        <v>2000000</v>
      </c>
      <c r="K1140" s="16" t="s">
        <v>62</v>
      </c>
      <c r="L1140" s="3" t="s">
        <v>47</v>
      </c>
      <c r="M1140" s="3" t="s">
        <v>148</v>
      </c>
      <c r="N1140" s="3" t="s">
        <v>43</v>
      </c>
    </row>
    <row r="1141" spans="1:14" x14ac:dyDescent="0.3">
      <c r="A1141" s="36" t="s">
        <v>37</v>
      </c>
      <c r="B1141" s="13">
        <v>115</v>
      </c>
      <c r="C1141" s="48" t="str">
        <f>HYPERLINK("https://uscode.house.gov/statutes/pl/115/302.pdf", "P.L. 115-302")</f>
        <v>P.L. 115-302</v>
      </c>
      <c r="D1141" s="3" t="s">
        <v>2164</v>
      </c>
      <c r="E1141" s="3" t="s">
        <v>296</v>
      </c>
      <c r="F1141" s="3" t="s">
        <v>2165</v>
      </c>
      <c r="G1141" s="48" t="str">
        <f>HYPERLINK("https://uscode.house.gov/view.xhtml?req=granuleid:USC-prelim-title42-section256g&amp;num=0&amp;edition=prelim", "42 U.S.C. 256g")</f>
        <v>42 U.S.C. 256g</v>
      </c>
      <c r="H1141" s="46">
        <v>45199</v>
      </c>
      <c r="I1141" s="13">
        <v>2023</v>
      </c>
      <c r="J1141" s="47">
        <v>13903000</v>
      </c>
      <c r="K1141" s="16" t="s">
        <v>62</v>
      </c>
      <c r="L1141" s="3" t="s">
        <v>60</v>
      </c>
      <c r="M1141" s="3" t="s">
        <v>71</v>
      </c>
      <c r="N1141" s="3" t="s">
        <v>72</v>
      </c>
    </row>
    <row r="1142" spans="1:14" x14ac:dyDescent="0.3">
      <c r="A1142" s="36" t="s">
        <v>37</v>
      </c>
      <c r="B1142" s="13">
        <v>115</v>
      </c>
      <c r="C1142" s="48" t="str">
        <f>HYPERLINK("https://uscode.house.gov/statutes/pl/115/307.pdf", "P.L. 115-307")</f>
        <v>P.L. 115-307</v>
      </c>
      <c r="D1142" s="3" t="s">
        <v>2166</v>
      </c>
      <c r="E1142" s="3" t="s">
        <v>2167</v>
      </c>
      <c r="F1142" s="3" t="s">
        <v>2168</v>
      </c>
      <c r="G1142" s="48" t="str">
        <f>HYPERLINK("https://uscode.house.gov/view.xhtml?req=granuleid:USC-prelim-title42-section7706&amp;num=0&amp;edition=prelim", "42 U.S.C. 7706(c)(2)")</f>
        <v>42 U.S.C. 7706(c)(2)</v>
      </c>
      <c r="H1142" s="46">
        <v>45199</v>
      </c>
      <c r="I1142" s="13">
        <v>2023</v>
      </c>
      <c r="J1142" s="47">
        <v>54000000</v>
      </c>
      <c r="K1142" s="16" t="s">
        <v>62</v>
      </c>
      <c r="L1142" s="3" t="s">
        <v>135</v>
      </c>
      <c r="M1142" s="3" t="s">
        <v>148</v>
      </c>
      <c r="N1142" s="3" t="s">
        <v>43</v>
      </c>
    </row>
    <row r="1143" spans="1:14" x14ac:dyDescent="0.3">
      <c r="A1143" s="36" t="s">
        <v>37</v>
      </c>
      <c r="B1143" s="13">
        <v>115</v>
      </c>
      <c r="C1143" s="48" t="str">
        <f>HYPERLINK("https://uscode.house.gov/statutes/pl/115/307.pdf", "P.L. 115-307")</f>
        <v>P.L. 115-307</v>
      </c>
      <c r="D1143" s="3" t="s">
        <v>2166</v>
      </c>
      <c r="E1143" s="3" t="s">
        <v>2169</v>
      </c>
      <c r="F1143" s="3" t="s">
        <v>2170</v>
      </c>
      <c r="G1143" s="48" t="str">
        <f>HYPERLINK("https://uscode.house.gov/view.xhtml?req=granuleid:USC-prelim-title42-section7706&amp;num=0&amp;edition=prelim", "42 U.S.C. 7706(d)(2)")</f>
        <v>42 U.S.C. 7706(d)(2)</v>
      </c>
      <c r="H1143" s="46">
        <v>45199</v>
      </c>
      <c r="I1143" s="13">
        <v>2023</v>
      </c>
      <c r="J1143" s="47">
        <v>5900000</v>
      </c>
      <c r="K1143" s="16" t="s">
        <v>62</v>
      </c>
      <c r="L1143" s="3" t="s">
        <v>135</v>
      </c>
      <c r="M1143" s="3" t="s">
        <v>148</v>
      </c>
      <c r="N1143" s="3" t="s">
        <v>43</v>
      </c>
    </row>
    <row r="1144" spans="1:14" x14ac:dyDescent="0.3">
      <c r="A1144" s="36" t="s">
        <v>37</v>
      </c>
      <c r="B1144" s="13">
        <v>115</v>
      </c>
      <c r="C1144" s="48" t="str">
        <f>HYPERLINK("https://uscode.house.gov/statutes/pl/115/307.pdf", "P.L. 115-307")</f>
        <v>P.L. 115-307</v>
      </c>
      <c r="D1144" s="3" t="s">
        <v>2166</v>
      </c>
      <c r="E1144" s="3" t="s">
        <v>2171</v>
      </c>
      <c r="F1144" s="3" t="s">
        <v>2172</v>
      </c>
      <c r="G1144" s="48" t="str">
        <f>HYPERLINK("https://uscode.house.gov/view.xhtml?req=granuleid:USC-prelim-title42-section7706&amp;num=0&amp;edition=prelim", "42 U.S.C. 7706(a)(8)")</f>
        <v>42 U.S.C. 7706(a)(8)</v>
      </c>
      <c r="H1144" s="46">
        <v>45199</v>
      </c>
      <c r="I1144" s="13">
        <v>2023</v>
      </c>
      <c r="J1144" s="47">
        <v>8758000</v>
      </c>
      <c r="K1144" s="16" t="s">
        <v>62</v>
      </c>
      <c r="L1144" s="3" t="s">
        <v>642</v>
      </c>
      <c r="M1144" s="3" t="s">
        <v>48</v>
      </c>
      <c r="N1144" s="3" t="s">
        <v>122</v>
      </c>
    </row>
    <row r="1145" spans="1:14" x14ac:dyDescent="0.3">
      <c r="A1145" s="36" t="s">
        <v>37</v>
      </c>
      <c r="B1145" s="13">
        <v>115</v>
      </c>
      <c r="C1145" s="48" t="str">
        <f>HYPERLINK("https://uscode.house.gov/statutes/pl/115/307.pdf", "P.L. 115-307")</f>
        <v>P.L. 115-307</v>
      </c>
      <c r="D1145" s="3" t="s">
        <v>2166</v>
      </c>
      <c r="E1145" s="3" t="s">
        <v>2173</v>
      </c>
      <c r="F1145" s="3" t="s">
        <v>2174</v>
      </c>
      <c r="G1145" s="48" t="str">
        <f>HYPERLINK("https://uscode.house.gov/view.xhtml?req=granuleid:USC-prelim-title42-section7706&amp;num=0&amp;edition=prelim", "42 U.S.C. 7706(b)(2)")</f>
        <v>42 U.S.C. 7706(b)(2)</v>
      </c>
      <c r="H1145" s="46">
        <v>45199</v>
      </c>
      <c r="I1145" s="13">
        <v>2023</v>
      </c>
      <c r="J1145" s="47">
        <v>83403000</v>
      </c>
      <c r="K1145" s="16" t="s">
        <v>62</v>
      </c>
      <c r="L1145" s="3" t="s">
        <v>47</v>
      </c>
      <c r="M1145" s="3" t="s">
        <v>48</v>
      </c>
      <c r="N1145" s="3" t="s">
        <v>49</v>
      </c>
    </row>
    <row r="1146" spans="1:14" x14ac:dyDescent="0.3">
      <c r="A1146" s="36" t="s">
        <v>37</v>
      </c>
      <c r="B1146" s="13">
        <v>115</v>
      </c>
      <c r="C1146" s="48" t="str">
        <f>HYPERLINK("https://uscode.house.gov/statutes/pl/115/327.pdf", "P.L. 115-327")</f>
        <v>P.L. 115-327</v>
      </c>
      <c r="D1146" s="3" t="s">
        <v>2175</v>
      </c>
      <c r="F1146" s="3" t="s">
        <v>2176</v>
      </c>
      <c r="G1146" s="48" t="str">
        <f>HYPERLINK("https://uscode.house.gov/view.xhtml?req=granuleid:USC-prelim-title42-section300b-4&amp;num=0&amp;edition=prelim", "42 U.S.C. 300b-4")</f>
        <v>42 U.S.C. 300b-4</v>
      </c>
      <c r="H1146" s="46">
        <v>45199</v>
      </c>
      <c r="I1146" s="13">
        <v>2023</v>
      </c>
      <c r="J1146" s="47">
        <v>4455000</v>
      </c>
      <c r="K1146" s="16" t="s">
        <v>62</v>
      </c>
      <c r="L1146" s="3" t="s">
        <v>60</v>
      </c>
      <c r="M1146" s="3" t="s">
        <v>71</v>
      </c>
      <c r="N1146" s="3" t="s">
        <v>72</v>
      </c>
    </row>
    <row r="1147" spans="1:14" x14ac:dyDescent="0.3">
      <c r="A1147" s="36" t="s">
        <v>37</v>
      </c>
      <c r="B1147" s="13">
        <v>115</v>
      </c>
      <c r="C1147" s="48" t="str">
        <f>HYPERLINK("https://uscode.house.gov/statutes/pl/115/328.pdf", "P.L. 115-328")</f>
        <v>P.L. 115-328</v>
      </c>
      <c r="D1147" s="3" t="s">
        <v>2177</v>
      </c>
      <c r="E1147" s="3" t="s">
        <v>222</v>
      </c>
      <c r="F1147" s="3" t="s">
        <v>2178</v>
      </c>
      <c r="G1147" s="48" t="str">
        <f>HYPERLINK("https://uscode.house.gov/view.xhtml?req=granuleid:USC-prelim-title42-section247b-4f&amp;num=0&amp;edition=prelim", "42 U.S.C. 247b-4f(e)")</f>
        <v>42 U.S.C. 247b-4f(e)</v>
      </c>
      <c r="H1147" s="46">
        <v>45199</v>
      </c>
      <c r="I1147" s="13">
        <v>2023</v>
      </c>
      <c r="J1147" s="47">
        <v>2000000</v>
      </c>
      <c r="K1147" s="16" t="s">
        <v>62</v>
      </c>
      <c r="L1147" s="3" t="s">
        <v>60</v>
      </c>
      <c r="M1147" s="3" t="s">
        <v>71</v>
      </c>
      <c r="N1147" s="3" t="s">
        <v>72</v>
      </c>
    </row>
    <row r="1148" spans="1:14" x14ac:dyDescent="0.3">
      <c r="A1148" s="36" t="s">
        <v>37</v>
      </c>
      <c r="B1148" s="13">
        <v>115</v>
      </c>
      <c r="C1148" s="48" t="str">
        <f t="shared" ref="C1148:C1179" si="43">HYPERLINK("https://uscode.house.gov/statutes/pl/115/334.pdf", "P.L. 115-334")</f>
        <v>P.L. 115-334</v>
      </c>
      <c r="D1148" s="3" t="s">
        <v>2179</v>
      </c>
      <c r="E1148" s="3" t="s">
        <v>2180</v>
      </c>
      <c r="F1148" s="3" t="s">
        <v>2181</v>
      </c>
      <c r="G1148" s="49"/>
      <c r="H1148" s="46">
        <v>45199</v>
      </c>
      <c r="I1148" s="13">
        <v>2023</v>
      </c>
      <c r="J1148" s="47">
        <v>15000000</v>
      </c>
      <c r="K1148" s="16" t="s">
        <v>62</v>
      </c>
      <c r="L1148" s="3" t="s">
        <v>1105</v>
      </c>
      <c r="M1148" s="3" t="s">
        <v>586</v>
      </c>
      <c r="N1148" s="3" t="s">
        <v>406</v>
      </c>
    </row>
    <row r="1149" spans="1:14" x14ac:dyDescent="0.3">
      <c r="A1149" s="36" t="s">
        <v>37</v>
      </c>
      <c r="B1149" s="13">
        <v>115</v>
      </c>
      <c r="C1149" s="48" t="str">
        <f t="shared" si="43"/>
        <v>P.L. 115-334</v>
      </c>
      <c r="D1149" s="3" t="s">
        <v>2179</v>
      </c>
      <c r="E1149" s="3" t="s">
        <v>2182</v>
      </c>
      <c r="F1149" s="3" t="s">
        <v>2183</v>
      </c>
      <c r="G1149" s="49"/>
      <c r="H1149" s="46">
        <v>45199</v>
      </c>
      <c r="I1149" s="13">
        <v>2023</v>
      </c>
      <c r="J1149" s="47">
        <v>10000000</v>
      </c>
      <c r="K1149" s="16" t="s">
        <v>62</v>
      </c>
      <c r="L1149" s="3" t="s">
        <v>1105</v>
      </c>
      <c r="M1149" s="3" t="s">
        <v>586</v>
      </c>
      <c r="N1149" s="3" t="s">
        <v>49</v>
      </c>
    </row>
    <row r="1150" spans="1:14" x14ac:dyDescent="0.3">
      <c r="A1150" s="36" t="s">
        <v>37</v>
      </c>
      <c r="B1150" s="13">
        <v>115</v>
      </c>
      <c r="C1150" s="48" t="str">
        <f t="shared" si="43"/>
        <v>P.L. 115-334</v>
      </c>
      <c r="D1150" s="3" t="s">
        <v>2179</v>
      </c>
      <c r="E1150" s="3" t="s">
        <v>2184</v>
      </c>
      <c r="F1150" s="3" t="s">
        <v>2185</v>
      </c>
      <c r="G1150" s="49"/>
      <c r="H1150" s="46">
        <v>45199</v>
      </c>
      <c r="I1150" s="13">
        <v>2023</v>
      </c>
      <c r="J1150" s="47">
        <v>35000000</v>
      </c>
      <c r="K1150" s="16" t="s">
        <v>62</v>
      </c>
      <c r="L1150" s="3" t="s">
        <v>1105</v>
      </c>
      <c r="M1150" s="3" t="s">
        <v>586</v>
      </c>
      <c r="N1150" s="3" t="s">
        <v>406</v>
      </c>
    </row>
    <row r="1151" spans="1:14" x14ac:dyDescent="0.3">
      <c r="A1151" s="36" t="s">
        <v>37</v>
      </c>
      <c r="B1151" s="13">
        <v>115</v>
      </c>
      <c r="C1151" s="48" t="str">
        <f t="shared" si="43"/>
        <v>P.L. 115-334</v>
      </c>
      <c r="D1151" s="3" t="s">
        <v>2179</v>
      </c>
      <c r="E1151" s="3" t="s">
        <v>2186</v>
      </c>
      <c r="F1151" s="3" t="s">
        <v>2187</v>
      </c>
      <c r="G1151" s="49"/>
      <c r="H1151" s="46">
        <v>45199</v>
      </c>
      <c r="I1151" s="13">
        <v>2023</v>
      </c>
      <c r="J1151" s="47">
        <v>75000000</v>
      </c>
      <c r="K1151" s="16" t="s">
        <v>62</v>
      </c>
      <c r="L1151" s="3" t="s">
        <v>1105</v>
      </c>
      <c r="M1151" s="3" t="s">
        <v>586</v>
      </c>
      <c r="N1151" s="3" t="s">
        <v>406</v>
      </c>
    </row>
    <row r="1152" spans="1:14" x14ac:dyDescent="0.3">
      <c r="A1152" s="36" t="s">
        <v>37</v>
      </c>
      <c r="B1152" s="13">
        <v>115</v>
      </c>
      <c r="C1152" s="48" t="str">
        <f t="shared" si="43"/>
        <v>P.L. 115-334</v>
      </c>
      <c r="D1152" s="3" t="s">
        <v>2179</v>
      </c>
      <c r="E1152" s="3" t="s">
        <v>2188</v>
      </c>
      <c r="F1152" s="3" t="s">
        <v>2189</v>
      </c>
      <c r="G1152" s="49"/>
      <c r="H1152" s="46">
        <v>45199</v>
      </c>
      <c r="I1152" s="13">
        <v>2023</v>
      </c>
      <c r="J1152" s="47">
        <v>20000000</v>
      </c>
      <c r="K1152" s="16" t="s">
        <v>62</v>
      </c>
      <c r="L1152" s="3" t="s">
        <v>1105</v>
      </c>
      <c r="M1152" s="3" t="s">
        <v>586</v>
      </c>
      <c r="N1152" s="3" t="s">
        <v>406</v>
      </c>
    </row>
    <row r="1153" spans="1:14" x14ac:dyDescent="0.3">
      <c r="A1153" s="36" t="s">
        <v>37</v>
      </c>
      <c r="B1153" s="13">
        <v>115</v>
      </c>
      <c r="C1153" s="48" t="str">
        <f t="shared" si="43"/>
        <v>P.L. 115-334</v>
      </c>
      <c r="D1153" s="3" t="s">
        <v>2179</v>
      </c>
      <c r="E1153" s="3" t="s">
        <v>2190</v>
      </c>
      <c r="F1153" s="3" t="s">
        <v>2191</v>
      </c>
      <c r="G1153" s="49"/>
      <c r="H1153" s="46">
        <v>45199</v>
      </c>
      <c r="I1153" s="13">
        <v>2023</v>
      </c>
      <c r="J1153" s="47">
        <v>5000000</v>
      </c>
      <c r="K1153" s="16" t="s">
        <v>62</v>
      </c>
      <c r="L1153" s="3" t="s">
        <v>1105</v>
      </c>
      <c r="M1153" s="3" t="s">
        <v>586</v>
      </c>
      <c r="N1153" s="3" t="s">
        <v>406</v>
      </c>
    </row>
    <row r="1154" spans="1:14" x14ac:dyDescent="0.3">
      <c r="A1154" s="36" t="s">
        <v>37</v>
      </c>
      <c r="B1154" s="13">
        <v>115</v>
      </c>
      <c r="C1154" s="48" t="str">
        <f t="shared" si="43"/>
        <v>P.L. 115-334</v>
      </c>
      <c r="D1154" s="3" t="s">
        <v>2179</v>
      </c>
      <c r="E1154" s="3" t="s">
        <v>2192</v>
      </c>
      <c r="F1154" s="3" t="s">
        <v>2193</v>
      </c>
      <c r="G1154" s="49"/>
      <c r="H1154" s="46">
        <v>45199</v>
      </c>
      <c r="I1154" s="13">
        <v>2023</v>
      </c>
      <c r="J1154" s="47">
        <v>1500000</v>
      </c>
      <c r="K1154" s="16" t="s">
        <v>62</v>
      </c>
      <c r="L1154" s="3" t="s">
        <v>1105</v>
      </c>
      <c r="M1154" s="3" t="s">
        <v>586</v>
      </c>
      <c r="N1154" s="3" t="s">
        <v>406</v>
      </c>
    </row>
    <row r="1155" spans="1:14" x14ac:dyDescent="0.3">
      <c r="A1155" s="36" t="s">
        <v>37</v>
      </c>
      <c r="B1155" s="13">
        <v>115</v>
      </c>
      <c r="C1155" s="48" t="str">
        <f t="shared" si="43"/>
        <v>P.L. 115-334</v>
      </c>
      <c r="D1155" s="3" t="s">
        <v>2179</v>
      </c>
      <c r="E1155" s="3" t="s">
        <v>2194</v>
      </c>
      <c r="F1155" s="3" t="s">
        <v>2195</v>
      </c>
      <c r="G1155" s="49"/>
      <c r="H1155" s="46">
        <v>45199</v>
      </c>
      <c r="I1155" s="13">
        <v>2023</v>
      </c>
      <c r="J1155" s="47">
        <v>65000000</v>
      </c>
      <c r="K1155" s="16" t="s">
        <v>62</v>
      </c>
      <c r="L1155" s="3" t="s">
        <v>1105</v>
      </c>
      <c r="M1155" s="3" t="s">
        <v>586</v>
      </c>
      <c r="N1155" s="3" t="s">
        <v>406</v>
      </c>
    </row>
    <row r="1156" spans="1:14" x14ac:dyDescent="0.3">
      <c r="A1156" s="36" t="s">
        <v>37</v>
      </c>
      <c r="B1156" s="13">
        <v>115</v>
      </c>
      <c r="C1156" s="48" t="str">
        <f t="shared" si="43"/>
        <v>P.L. 115-334</v>
      </c>
      <c r="D1156" s="3" t="s">
        <v>2179</v>
      </c>
      <c r="E1156" s="3" t="s">
        <v>2196</v>
      </c>
      <c r="F1156" s="3" t="s">
        <v>2197</v>
      </c>
      <c r="G1156" s="49"/>
      <c r="H1156" s="46">
        <v>45199</v>
      </c>
      <c r="I1156" s="13">
        <v>2023</v>
      </c>
      <c r="J1156" s="47">
        <v>20000000</v>
      </c>
      <c r="K1156" s="16" t="s">
        <v>62</v>
      </c>
      <c r="L1156" s="3" t="s">
        <v>1105</v>
      </c>
      <c r="M1156" s="3" t="s">
        <v>586</v>
      </c>
      <c r="N1156" s="3" t="s">
        <v>406</v>
      </c>
    </row>
    <row r="1157" spans="1:14" x14ac:dyDescent="0.3">
      <c r="A1157" s="36" t="s">
        <v>37</v>
      </c>
      <c r="B1157" s="13">
        <v>115</v>
      </c>
      <c r="C1157" s="48" t="str">
        <f t="shared" si="43"/>
        <v>P.L. 115-334</v>
      </c>
      <c r="D1157" s="3" t="s">
        <v>2179</v>
      </c>
      <c r="E1157" s="3" t="s">
        <v>2198</v>
      </c>
      <c r="F1157" s="3" t="s">
        <v>2199</v>
      </c>
      <c r="G1157" s="49"/>
      <c r="H1157" s="46">
        <v>45199</v>
      </c>
      <c r="I1157" s="13">
        <v>2023</v>
      </c>
      <c r="J1157" s="47">
        <v>3000000</v>
      </c>
      <c r="K1157" s="16" t="s">
        <v>62</v>
      </c>
      <c r="L1157" s="3" t="s">
        <v>1105</v>
      </c>
      <c r="M1157" s="3" t="s">
        <v>586</v>
      </c>
      <c r="N1157" s="3" t="s">
        <v>406</v>
      </c>
    </row>
    <row r="1158" spans="1:14" x14ac:dyDescent="0.3">
      <c r="A1158" s="36" t="s">
        <v>37</v>
      </c>
      <c r="B1158" s="13">
        <v>115</v>
      </c>
      <c r="C1158" s="48" t="str">
        <f t="shared" si="43"/>
        <v>P.L. 115-334</v>
      </c>
      <c r="D1158" s="3" t="s">
        <v>2179</v>
      </c>
      <c r="E1158" s="3" t="s">
        <v>2200</v>
      </c>
      <c r="F1158" s="3" t="s">
        <v>2201</v>
      </c>
      <c r="G1158" s="49"/>
      <c r="H1158" s="46">
        <v>45199</v>
      </c>
      <c r="I1158" s="13">
        <v>2023</v>
      </c>
      <c r="J1158" s="47">
        <v>20000000</v>
      </c>
      <c r="K1158" s="16" t="s">
        <v>62</v>
      </c>
      <c r="L1158" s="3" t="s">
        <v>1105</v>
      </c>
      <c r="M1158" s="3" t="s">
        <v>586</v>
      </c>
      <c r="N1158" s="3" t="s">
        <v>406</v>
      </c>
    </row>
    <row r="1159" spans="1:14" x14ac:dyDescent="0.3">
      <c r="A1159" s="36" t="s">
        <v>37</v>
      </c>
      <c r="B1159" s="13">
        <v>115</v>
      </c>
      <c r="C1159" s="48" t="str">
        <f t="shared" si="43"/>
        <v>P.L. 115-334</v>
      </c>
      <c r="D1159" s="3" t="s">
        <v>2179</v>
      </c>
      <c r="E1159" s="3" t="s">
        <v>2202</v>
      </c>
      <c r="F1159" s="3" t="s">
        <v>2203</v>
      </c>
      <c r="G1159" s="49"/>
      <c r="H1159" s="46">
        <v>45199</v>
      </c>
      <c r="I1159" s="13">
        <v>2023</v>
      </c>
      <c r="J1159" s="47">
        <v>350000000</v>
      </c>
      <c r="K1159" s="16" t="s">
        <v>62</v>
      </c>
      <c r="L1159" s="3" t="s">
        <v>1105</v>
      </c>
      <c r="M1159" s="3" t="s">
        <v>586</v>
      </c>
      <c r="N1159" s="3" t="s">
        <v>406</v>
      </c>
    </row>
    <row r="1160" spans="1:14" x14ac:dyDescent="0.3">
      <c r="A1160" s="36" t="s">
        <v>37</v>
      </c>
      <c r="B1160" s="13">
        <v>115</v>
      </c>
      <c r="C1160" s="48" t="str">
        <f t="shared" si="43"/>
        <v>P.L. 115-334</v>
      </c>
      <c r="D1160" s="3" t="s">
        <v>2179</v>
      </c>
      <c r="E1160" s="3" t="s">
        <v>2204</v>
      </c>
      <c r="F1160" s="3" t="s">
        <v>2205</v>
      </c>
      <c r="G1160" s="49"/>
      <c r="H1160" s="46">
        <v>45199</v>
      </c>
      <c r="I1160" s="13">
        <v>2023</v>
      </c>
      <c r="J1160" s="47">
        <v>82000000</v>
      </c>
      <c r="K1160" s="16" t="s">
        <v>62</v>
      </c>
      <c r="L1160" s="3" t="s">
        <v>1105</v>
      </c>
      <c r="M1160" s="3" t="s">
        <v>586</v>
      </c>
      <c r="N1160" s="3" t="s">
        <v>406</v>
      </c>
    </row>
    <row r="1161" spans="1:14" x14ac:dyDescent="0.3">
      <c r="A1161" s="36" t="s">
        <v>37</v>
      </c>
      <c r="B1161" s="13">
        <v>115</v>
      </c>
      <c r="C1161" s="48" t="str">
        <f t="shared" si="43"/>
        <v>P.L. 115-334</v>
      </c>
      <c r="D1161" s="3" t="s">
        <v>2179</v>
      </c>
      <c r="E1161" s="3" t="s">
        <v>2206</v>
      </c>
      <c r="F1161" s="3" t="s">
        <v>2207</v>
      </c>
      <c r="G1161" s="49"/>
      <c r="H1161" s="46">
        <v>45199</v>
      </c>
      <c r="I1161" s="13">
        <v>2023</v>
      </c>
      <c r="J1161" s="47">
        <v>40000000</v>
      </c>
      <c r="K1161" s="16" t="s">
        <v>62</v>
      </c>
      <c r="L1161" s="3" t="s">
        <v>1105</v>
      </c>
      <c r="M1161" s="3" t="s">
        <v>586</v>
      </c>
      <c r="N1161" s="3" t="s">
        <v>406</v>
      </c>
    </row>
    <row r="1162" spans="1:14" x14ac:dyDescent="0.3">
      <c r="A1162" s="36" t="s">
        <v>37</v>
      </c>
      <c r="B1162" s="13">
        <v>115</v>
      </c>
      <c r="C1162" s="48" t="str">
        <f t="shared" si="43"/>
        <v>P.L. 115-334</v>
      </c>
      <c r="D1162" s="3" t="s">
        <v>2179</v>
      </c>
      <c r="E1162" s="3" t="s">
        <v>636</v>
      </c>
      <c r="F1162" s="3" t="s">
        <v>2208</v>
      </c>
      <c r="G1162" s="49"/>
      <c r="H1162" s="46">
        <v>45199</v>
      </c>
      <c r="I1162" s="13">
        <v>2023</v>
      </c>
      <c r="J1162" s="47">
        <v>90000000</v>
      </c>
      <c r="K1162" s="16" t="s">
        <v>62</v>
      </c>
      <c r="L1162" s="3" t="s">
        <v>1105</v>
      </c>
      <c r="M1162" s="3" t="s">
        <v>586</v>
      </c>
      <c r="N1162" s="3" t="s">
        <v>406</v>
      </c>
    </row>
    <row r="1163" spans="1:14" x14ac:dyDescent="0.3">
      <c r="A1163" s="36" t="s">
        <v>37</v>
      </c>
      <c r="B1163" s="13">
        <v>115</v>
      </c>
      <c r="C1163" s="48" t="str">
        <f t="shared" si="43"/>
        <v>P.L. 115-334</v>
      </c>
      <c r="D1163" s="3" t="s">
        <v>2179</v>
      </c>
      <c r="E1163" s="3" t="s">
        <v>2209</v>
      </c>
      <c r="F1163" s="3" t="s">
        <v>2210</v>
      </c>
      <c r="G1163" s="49"/>
      <c r="H1163" s="46">
        <v>45199</v>
      </c>
      <c r="I1163" s="13">
        <v>2023</v>
      </c>
      <c r="J1163" s="47">
        <v>25000000</v>
      </c>
      <c r="K1163" s="16" t="s">
        <v>62</v>
      </c>
      <c r="L1163" s="3" t="s">
        <v>1105</v>
      </c>
      <c r="M1163" s="3" t="s">
        <v>586</v>
      </c>
      <c r="N1163" s="3" t="s">
        <v>406</v>
      </c>
    </row>
    <row r="1164" spans="1:14" x14ac:dyDescent="0.3">
      <c r="A1164" s="36" t="s">
        <v>37</v>
      </c>
      <c r="B1164" s="13">
        <v>115</v>
      </c>
      <c r="C1164" s="48" t="str">
        <f t="shared" si="43"/>
        <v>P.L. 115-334</v>
      </c>
      <c r="D1164" s="3" t="s">
        <v>2179</v>
      </c>
      <c r="E1164" s="3" t="s">
        <v>2211</v>
      </c>
      <c r="F1164" s="3" t="s">
        <v>2212</v>
      </c>
      <c r="G1164" s="49"/>
      <c r="H1164" s="46">
        <v>45199</v>
      </c>
      <c r="I1164" s="13">
        <v>2023</v>
      </c>
      <c r="J1164" s="47">
        <v>25000000</v>
      </c>
      <c r="K1164" s="16" t="s">
        <v>62</v>
      </c>
      <c r="L1164" s="3" t="s">
        <v>1105</v>
      </c>
      <c r="M1164" s="3" t="s">
        <v>586</v>
      </c>
      <c r="N1164" s="3" t="s">
        <v>406</v>
      </c>
    </row>
    <row r="1165" spans="1:14" x14ac:dyDescent="0.3">
      <c r="A1165" s="36" t="s">
        <v>37</v>
      </c>
      <c r="B1165" s="13">
        <v>115</v>
      </c>
      <c r="C1165" s="48" t="str">
        <f t="shared" si="43"/>
        <v>P.L. 115-334</v>
      </c>
      <c r="D1165" s="3" t="s">
        <v>2179</v>
      </c>
      <c r="E1165" s="3" t="s">
        <v>2107</v>
      </c>
      <c r="F1165" s="3" t="s">
        <v>2213</v>
      </c>
      <c r="G1165" s="49"/>
      <c r="H1165" s="46">
        <v>45199</v>
      </c>
      <c r="I1165" s="13">
        <v>2023</v>
      </c>
      <c r="J1165" s="47">
        <v>40000000</v>
      </c>
      <c r="K1165" s="16" t="s">
        <v>62</v>
      </c>
      <c r="L1165" s="3" t="s">
        <v>1105</v>
      </c>
      <c r="M1165" s="3" t="s">
        <v>586</v>
      </c>
      <c r="N1165" s="3" t="s">
        <v>406</v>
      </c>
    </row>
    <row r="1166" spans="1:14" x14ac:dyDescent="0.3">
      <c r="A1166" s="36" t="s">
        <v>37</v>
      </c>
      <c r="B1166" s="13">
        <v>115</v>
      </c>
      <c r="C1166" s="48" t="str">
        <f t="shared" si="43"/>
        <v>P.L. 115-334</v>
      </c>
      <c r="D1166" s="3" t="s">
        <v>2179</v>
      </c>
      <c r="E1166" s="3" t="s">
        <v>2214</v>
      </c>
      <c r="F1166" s="3" t="s">
        <v>2215</v>
      </c>
      <c r="G1166" s="49"/>
      <c r="H1166" s="46">
        <v>45199</v>
      </c>
      <c r="I1166" s="13">
        <v>2023</v>
      </c>
      <c r="J1166" s="47">
        <v>5000000</v>
      </c>
      <c r="K1166" s="16" t="s">
        <v>62</v>
      </c>
      <c r="L1166" s="3" t="s">
        <v>1105</v>
      </c>
      <c r="M1166" s="3" t="s">
        <v>586</v>
      </c>
      <c r="N1166" s="3" t="s">
        <v>406</v>
      </c>
    </row>
    <row r="1167" spans="1:14" x14ac:dyDescent="0.3">
      <c r="A1167" s="36" t="s">
        <v>37</v>
      </c>
      <c r="B1167" s="13">
        <v>115</v>
      </c>
      <c r="C1167" s="48" t="str">
        <f t="shared" si="43"/>
        <v>P.L. 115-334</v>
      </c>
      <c r="D1167" s="3" t="s">
        <v>2179</v>
      </c>
      <c r="E1167" s="3" t="s">
        <v>2216</v>
      </c>
      <c r="F1167" s="3" t="s">
        <v>2217</v>
      </c>
      <c r="G1167" s="49"/>
      <c r="H1167" s="46">
        <v>45199</v>
      </c>
      <c r="I1167" s="13">
        <v>2023</v>
      </c>
      <c r="J1167" s="16" t="s">
        <v>12</v>
      </c>
      <c r="K1167" s="16" t="s">
        <v>62</v>
      </c>
      <c r="L1167" s="3" t="s">
        <v>1105</v>
      </c>
      <c r="M1167" s="3" t="s">
        <v>586</v>
      </c>
      <c r="N1167" s="3" t="s">
        <v>406</v>
      </c>
    </row>
    <row r="1168" spans="1:14" x14ac:dyDescent="0.3">
      <c r="A1168" s="36" t="s">
        <v>37</v>
      </c>
      <c r="B1168" s="13">
        <v>115</v>
      </c>
      <c r="C1168" s="48" t="str">
        <f t="shared" si="43"/>
        <v>P.L. 115-334</v>
      </c>
      <c r="D1168" s="3" t="s">
        <v>2179</v>
      </c>
      <c r="E1168" s="3" t="s">
        <v>2218</v>
      </c>
      <c r="F1168" s="3" t="s">
        <v>2219</v>
      </c>
      <c r="G1168" s="49"/>
      <c r="H1168" s="46">
        <v>45199</v>
      </c>
      <c r="I1168" s="13">
        <v>2023</v>
      </c>
      <c r="J1168" s="16" t="s">
        <v>12</v>
      </c>
      <c r="K1168" s="16" t="s">
        <v>62</v>
      </c>
      <c r="L1168" s="3" t="s">
        <v>1105</v>
      </c>
      <c r="M1168" s="3" t="s">
        <v>586</v>
      </c>
      <c r="N1168" s="3" t="s">
        <v>406</v>
      </c>
    </row>
    <row r="1169" spans="1:14" x14ac:dyDescent="0.3">
      <c r="A1169" s="36" t="s">
        <v>37</v>
      </c>
      <c r="B1169" s="13">
        <v>115</v>
      </c>
      <c r="C1169" s="48" t="str">
        <f t="shared" si="43"/>
        <v>P.L. 115-334</v>
      </c>
      <c r="D1169" s="3" t="s">
        <v>2179</v>
      </c>
      <c r="E1169" s="3" t="s">
        <v>2109</v>
      </c>
      <c r="F1169" s="3" t="s">
        <v>2220</v>
      </c>
      <c r="G1169" s="49"/>
      <c r="H1169" s="46">
        <v>45199</v>
      </c>
      <c r="I1169" s="13">
        <v>2023</v>
      </c>
      <c r="J1169" s="16" t="s">
        <v>12</v>
      </c>
      <c r="K1169" s="16" t="s">
        <v>62</v>
      </c>
      <c r="L1169" s="3" t="s">
        <v>1105</v>
      </c>
      <c r="M1169" s="3" t="s">
        <v>586</v>
      </c>
      <c r="N1169" s="3" t="s">
        <v>406</v>
      </c>
    </row>
    <row r="1170" spans="1:14" x14ac:dyDescent="0.3">
      <c r="A1170" s="36" t="s">
        <v>37</v>
      </c>
      <c r="B1170" s="13">
        <v>115</v>
      </c>
      <c r="C1170" s="48" t="str">
        <f t="shared" si="43"/>
        <v>P.L. 115-334</v>
      </c>
      <c r="D1170" s="3" t="s">
        <v>2179</v>
      </c>
      <c r="E1170" s="3" t="s">
        <v>2111</v>
      </c>
      <c r="F1170" s="3" t="s">
        <v>2221</v>
      </c>
      <c r="G1170" s="49"/>
      <c r="H1170" s="46">
        <v>45199</v>
      </c>
      <c r="I1170" s="13">
        <v>2023</v>
      </c>
      <c r="J1170" s="47">
        <v>2000000</v>
      </c>
      <c r="K1170" s="16" t="s">
        <v>62</v>
      </c>
      <c r="L1170" s="3" t="s">
        <v>1105</v>
      </c>
      <c r="M1170" s="3" t="s">
        <v>586</v>
      </c>
      <c r="N1170" s="3" t="s">
        <v>406</v>
      </c>
    </row>
    <row r="1171" spans="1:14" x14ac:dyDescent="0.3">
      <c r="A1171" s="36" t="s">
        <v>37</v>
      </c>
      <c r="B1171" s="13">
        <v>115</v>
      </c>
      <c r="C1171" s="48" t="str">
        <f t="shared" si="43"/>
        <v>P.L. 115-334</v>
      </c>
      <c r="D1171" s="3" t="s">
        <v>2179</v>
      </c>
      <c r="E1171" s="3" t="s">
        <v>2113</v>
      </c>
      <c r="F1171" s="3" t="s">
        <v>2222</v>
      </c>
      <c r="G1171" s="49"/>
      <c r="H1171" s="46">
        <v>45199</v>
      </c>
      <c r="I1171" s="13">
        <v>2023</v>
      </c>
      <c r="J1171" s="47">
        <v>30000000</v>
      </c>
      <c r="K1171" s="16" t="s">
        <v>62</v>
      </c>
      <c r="L1171" s="3" t="s">
        <v>1105</v>
      </c>
      <c r="M1171" s="3" t="s">
        <v>586</v>
      </c>
      <c r="N1171" s="3" t="s">
        <v>406</v>
      </c>
    </row>
    <row r="1172" spans="1:14" x14ac:dyDescent="0.3">
      <c r="A1172" s="36" t="s">
        <v>37</v>
      </c>
      <c r="B1172" s="13">
        <v>115</v>
      </c>
      <c r="C1172" s="48" t="str">
        <f t="shared" si="43"/>
        <v>P.L. 115-334</v>
      </c>
      <c r="D1172" s="3" t="s">
        <v>2179</v>
      </c>
      <c r="E1172" s="3" t="s">
        <v>2223</v>
      </c>
      <c r="F1172" s="3" t="s">
        <v>2224</v>
      </c>
      <c r="G1172" s="49"/>
      <c r="H1172" s="46">
        <v>45199</v>
      </c>
      <c r="I1172" s="13">
        <v>2023</v>
      </c>
      <c r="J1172" s="47">
        <v>2000000</v>
      </c>
      <c r="K1172" s="16" t="s">
        <v>62</v>
      </c>
      <c r="L1172" s="3" t="s">
        <v>1105</v>
      </c>
      <c r="M1172" s="3" t="s">
        <v>586</v>
      </c>
      <c r="N1172" s="3" t="s">
        <v>406</v>
      </c>
    </row>
    <row r="1173" spans="1:14" x14ac:dyDescent="0.3">
      <c r="A1173" s="36" t="s">
        <v>37</v>
      </c>
      <c r="B1173" s="13">
        <v>115</v>
      </c>
      <c r="C1173" s="48" t="str">
        <f t="shared" si="43"/>
        <v>P.L. 115-334</v>
      </c>
      <c r="D1173" s="3" t="s">
        <v>2179</v>
      </c>
      <c r="E1173" s="3" t="s">
        <v>2225</v>
      </c>
      <c r="F1173" s="3" t="s">
        <v>2226</v>
      </c>
      <c r="G1173" s="49"/>
      <c r="H1173" s="46">
        <v>45199</v>
      </c>
      <c r="I1173" s="13">
        <v>2023</v>
      </c>
      <c r="J1173" s="47">
        <v>2000000</v>
      </c>
      <c r="K1173" s="16" t="s">
        <v>62</v>
      </c>
      <c r="L1173" s="3" t="s">
        <v>1105</v>
      </c>
      <c r="M1173" s="3" t="s">
        <v>586</v>
      </c>
      <c r="N1173" s="3" t="s">
        <v>406</v>
      </c>
    </row>
    <row r="1174" spans="1:14" x14ac:dyDescent="0.3">
      <c r="A1174" s="36" t="s">
        <v>37</v>
      </c>
      <c r="B1174" s="13">
        <v>115</v>
      </c>
      <c r="C1174" s="48" t="str">
        <f t="shared" si="43"/>
        <v>P.L. 115-334</v>
      </c>
      <c r="D1174" s="3" t="s">
        <v>2179</v>
      </c>
      <c r="E1174" s="3" t="s">
        <v>2227</v>
      </c>
      <c r="F1174" s="3" t="s">
        <v>2228</v>
      </c>
      <c r="G1174" s="49"/>
      <c r="H1174" s="46">
        <v>45199</v>
      </c>
      <c r="I1174" s="13">
        <v>2023</v>
      </c>
      <c r="J1174" s="47">
        <v>1000000</v>
      </c>
      <c r="K1174" s="16" t="s">
        <v>62</v>
      </c>
      <c r="L1174" s="3" t="s">
        <v>1105</v>
      </c>
      <c r="M1174" s="3" t="s">
        <v>586</v>
      </c>
      <c r="N1174" s="3" t="s">
        <v>406</v>
      </c>
    </row>
    <row r="1175" spans="1:14" x14ac:dyDescent="0.3">
      <c r="A1175" s="36" t="s">
        <v>37</v>
      </c>
      <c r="B1175" s="13">
        <v>115</v>
      </c>
      <c r="C1175" s="48" t="str">
        <f t="shared" si="43"/>
        <v>P.L. 115-334</v>
      </c>
      <c r="D1175" s="3" t="s">
        <v>2179</v>
      </c>
      <c r="E1175" s="3" t="s">
        <v>2229</v>
      </c>
      <c r="F1175" s="3" t="s">
        <v>2230</v>
      </c>
      <c r="G1175" s="49"/>
      <c r="H1175" s="46">
        <v>45199</v>
      </c>
      <c r="I1175" s="13">
        <v>2023</v>
      </c>
      <c r="J1175" s="47">
        <v>25000000</v>
      </c>
      <c r="K1175" s="16" t="s">
        <v>62</v>
      </c>
      <c r="L1175" s="3" t="s">
        <v>1105</v>
      </c>
      <c r="M1175" s="3" t="s">
        <v>586</v>
      </c>
      <c r="N1175" s="3" t="s">
        <v>406</v>
      </c>
    </row>
    <row r="1176" spans="1:14" x14ac:dyDescent="0.3">
      <c r="A1176" s="36" t="s">
        <v>37</v>
      </c>
      <c r="B1176" s="13">
        <v>115</v>
      </c>
      <c r="C1176" s="48" t="str">
        <f t="shared" si="43"/>
        <v>P.L. 115-334</v>
      </c>
      <c r="D1176" s="3" t="s">
        <v>2179</v>
      </c>
      <c r="E1176" s="3" t="s">
        <v>2231</v>
      </c>
      <c r="F1176" s="3" t="s">
        <v>2232</v>
      </c>
      <c r="G1176" s="49"/>
      <c r="H1176" s="46">
        <v>45199</v>
      </c>
      <c r="I1176" s="13">
        <v>2023</v>
      </c>
      <c r="J1176" s="47">
        <v>500000</v>
      </c>
      <c r="K1176" s="16" t="s">
        <v>62</v>
      </c>
      <c r="L1176" s="3" t="s">
        <v>1105</v>
      </c>
      <c r="M1176" s="3" t="s">
        <v>586</v>
      </c>
      <c r="N1176" s="3" t="s">
        <v>406</v>
      </c>
    </row>
    <row r="1177" spans="1:14" x14ac:dyDescent="0.3">
      <c r="A1177" s="36" t="s">
        <v>37</v>
      </c>
      <c r="B1177" s="13">
        <v>115</v>
      </c>
      <c r="C1177" s="48" t="str">
        <f t="shared" si="43"/>
        <v>P.L. 115-334</v>
      </c>
      <c r="D1177" s="3" t="s">
        <v>2179</v>
      </c>
      <c r="E1177" s="3" t="s">
        <v>2233</v>
      </c>
      <c r="F1177" s="3" t="s">
        <v>2234</v>
      </c>
      <c r="G1177" s="49"/>
      <c r="H1177" s="46">
        <v>45199</v>
      </c>
      <c r="I1177" s="13">
        <v>2023</v>
      </c>
      <c r="J1177" s="47">
        <v>3000000</v>
      </c>
      <c r="K1177" s="16" t="s">
        <v>62</v>
      </c>
      <c r="L1177" s="3" t="s">
        <v>1105</v>
      </c>
      <c r="M1177" s="3" t="s">
        <v>586</v>
      </c>
      <c r="N1177" s="3" t="s">
        <v>406</v>
      </c>
    </row>
    <row r="1178" spans="1:14" x14ac:dyDescent="0.3">
      <c r="A1178" s="36" t="s">
        <v>37</v>
      </c>
      <c r="B1178" s="13">
        <v>115</v>
      </c>
      <c r="C1178" s="48" t="str">
        <f t="shared" si="43"/>
        <v>P.L. 115-334</v>
      </c>
      <c r="D1178" s="3" t="s">
        <v>2179</v>
      </c>
      <c r="E1178" s="3" t="s">
        <v>2235</v>
      </c>
      <c r="F1178" s="3" t="s">
        <v>2236</v>
      </c>
      <c r="G1178" s="49"/>
      <c r="H1178" s="46">
        <v>45199</v>
      </c>
      <c r="I1178" s="13">
        <v>2023</v>
      </c>
      <c r="J1178" s="16" t="s">
        <v>12</v>
      </c>
      <c r="K1178" s="16" t="s">
        <v>62</v>
      </c>
      <c r="L1178" s="3" t="s">
        <v>1105</v>
      </c>
      <c r="M1178" s="3" t="s">
        <v>586</v>
      </c>
      <c r="N1178" s="3" t="s">
        <v>406</v>
      </c>
    </row>
    <row r="1179" spans="1:14" x14ac:dyDescent="0.3">
      <c r="A1179" s="36" t="s">
        <v>37</v>
      </c>
      <c r="B1179" s="13">
        <v>115</v>
      </c>
      <c r="C1179" s="48" t="str">
        <f t="shared" si="43"/>
        <v>P.L. 115-334</v>
      </c>
      <c r="D1179" s="3" t="s">
        <v>2179</v>
      </c>
      <c r="E1179" s="3" t="s">
        <v>643</v>
      </c>
      <c r="F1179" s="3" t="s">
        <v>2237</v>
      </c>
      <c r="G1179" s="49"/>
      <c r="H1179" s="46">
        <v>45199</v>
      </c>
      <c r="I1179" s="13">
        <v>2023</v>
      </c>
      <c r="J1179" s="47">
        <v>15000000</v>
      </c>
      <c r="K1179" s="16" t="s">
        <v>62</v>
      </c>
      <c r="L1179" s="3" t="s">
        <v>1105</v>
      </c>
      <c r="M1179" s="3" t="s">
        <v>586</v>
      </c>
      <c r="N1179" s="3" t="s">
        <v>406</v>
      </c>
    </row>
    <row r="1180" spans="1:14" x14ac:dyDescent="0.3">
      <c r="A1180" s="36" t="s">
        <v>37</v>
      </c>
      <c r="B1180" s="13">
        <v>115</v>
      </c>
      <c r="C1180" s="48" t="str">
        <f t="shared" ref="C1180:C1211" si="44">HYPERLINK("https://uscode.house.gov/statutes/pl/115/334.pdf", "P.L. 115-334")</f>
        <v>P.L. 115-334</v>
      </c>
      <c r="D1180" s="3" t="s">
        <v>2179</v>
      </c>
      <c r="E1180" s="3" t="s">
        <v>1273</v>
      </c>
      <c r="F1180" s="3" t="s">
        <v>2238</v>
      </c>
      <c r="G1180" s="49"/>
      <c r="H1180" s="46">
        <v>45199</v>
      </c>
      <c r="I1180" s="13">
        <v>2023</v>
      </c>
      <c r="J1180" s="47">
        <v>3000000</v>
      </c>
      <c r="K1180" s="16" t="s">
        <v>62</v>
      </c>
      <c r="L1180" s="3" t="s">
        <v>1105</v>
      </c>
      <c r="M1180" s="3" t="s">
        <v>586</v>
      </c>
      <c r="N1180" s="3" t="s">
        <v>406</v>
      </c>
    </row>
    <row r="1181" spans="1:14" x14ac:dyDescent="0.3">
      <c r="A1181" s="36" t="s">
        <v>37</v>
      </c>
      <c r="B1181" s="13">
        <v>115</v>
      </c>
      <c r="C1181" s="48" t="str">
        <f t="shared" si="44"/>
        <v>P.L. 115-334</v>
      </c>
      <c r="D1181" s="3" t="s">
        <v>2179</v>
      </c>
      <c r="E1181" s="3" t="s">
        <v>2239</v>
      </c>
      <c r="F1181" s="3" t="s">
        <v>2240</v>
      </c>
      <c r="G1181" s="49"/>
      <c r="H1181" s="46">
        <v>45199</v>
      </c>
      <c r="I1181" s="13">
        <v>2023</v>
      </c>
      <c r="J1181" s="47">
        <v>25000000</v>
      </c>
      <c r="K1181" s="16" t="s">
        <v>62</v>
      </c>
      <c r="L1181" s="3" t="s">
        <v>1105</v>
      </c>
      <c r="M1181" s="3" t="s">
        <v>586</v>
      </c>
      <c r="N1181" s="3" t="s">
        <v>406</v>
      </c>
    </row>
    <row r="1182" spans="1:14" x14ac:dyDescent="0.3">
      <c r="A1182" s="36" t="s">
        <v>37</v>
      </c>
      <c r="B1182" s="13">
        <v>115</v>
      </c>
      <c r="C1182" s="48" t="str">
        <f t="shared" si="44"/>
        <v>P.L. 115-334</v>
      </c>
      <c r="D1182" s="3" t="s">
        <v>2179</v>
      </c>
      <c r="E1182" s="3" t="s">
        <v>2241</v>
      </c>
      <c r="F1182" s="3" t="s">
        <v>2242</v>
      </c>
      <c r="G1182" s="49"/>
      <c r="H1182" s="46">
        <v>45199</v>
      </c>
      <c r="I1182" s="13">
        <v>2023</v>
      </c>
      <c r="J1182" s="47">
        <v>2500000</v>
      </c>
      <c r="K1182" s="16" t="s">
        <v>62</v>
      </c>
      <c r="L1182" s="3" t="s">
        <v>1105</v>
      </c>
      <c r="M1182" s="3" t="s">
        <v>586</v>
      </c>
      <c r="N1182" s="3" t="s">
        <v>406</v>
      </c>
    </row>
    <row r="1183" spans="1:14" x14ac:dyDescent="0.3">
      <c r="A1183" s="36" t="s">
        <v>37</v>
      </c>
      <c r="B1183" s="13">
        <v>115</v>
      </c>
      <c r="C1183" s="48" t="str">
        <f t="shared" si="44"/>
        <v>P.L. 115-334</v>
      </c>
      <c r="D1183" s="3" t="s">
        <v>2179</v>
      </c>
      <c r="E1183" s="3" t="s">
        <v>2243</v>
      </c>
      <c r="F1183" s="3" t="s">
        <v>2244</v>
      </c>
      <c r="G1183" s="49"/>
      <c r="H1183" s="46">
        <v>45199</v>
      </c>
      <c r="I1183" s="13">
        <v>2023</v>
      </c>
      <c r="J1183" s="47">
        <v>2000000</v>
      </c>
      <c r="K1183" s="16" t="s">
        <v>62</v>
      </c>
      <c r="L1183" s="3" t="s">
        <v>1105</v>
      </c>
      <c r="M1183" s="3" t="s">
        <v>586</v>
      </c>
      <c r="N1183" s="3" t="s">
        <v>406</v>
      </c>
    </row>
    <row r="1184" spans="1:14" x14ac:dyDescent="0.3">
      <c r="A1184" s="36" t="s">
        <v>37</v>
      </c>
      <c r="B1184" s="13">
        <v>115</v>
      </c>
      <c r="C1184" s="48" t="str">
        <f t="shared" si="44"/>
        <v>P.L. 115-334</v>
      </c>
      <c r="D1184" s="3" t="s">
        <v>2179</v>
      </c>
      <c r="E1184" s="3" t="s">
        <v>2245</v>
      </c>
      <c r="F1184" s="3" t="s">
        <v>2246</v>
      </c>
      <c r="G1184" s="49"/>
      <c r="H1184" s="46">
        <v>45199</v>
      </c>
      <c r="I1184" s="13">
        <v>2023</v>
      </c>
      <c r="J1184" s="16" t="s">
        <v>12</v>
      </c>
      <c r="K1184" s="16" t="s">
        <v>62</v>
      </c>
      <c r="L1184" s="3" t="s">
        <v>1105</v>
      </c>
      <c r="M1184" s="3" t="s">
        <v>586</v>
      </c>
      <c r="N1184" s="3" t="s">
        <v>406</v>
      </c>
    </row>
    <row r="1185" spans="1:14" x14ac:dyDescent="0.3">
      <c r="A1185" s="36" t="s">
        <v>37</v>
      </c>
      <c r="B1185" s="13">
        <v>115</v>
      </c>
      <c r="C1185" s="48" t="str">
        <f t="shared" si="44"/>
        <v>P.L. 115-334</v>
      </c>
      <c r="D1185" s="3" t="s">
        <v>2179</v>
      </c>
      <c r="E1185" s="3" t="s">
        <v>2111</v>
      </c>
      <c r="F1185" s="3" t="s">
        <v>2247</v>
      </c>
      <c r="G1185" s="49"/>
      <c r="H1185" s="46">
        <v>45199</v>
      </c>
      <c r="I1185" s="13">
        <v>2023</v>
      </c>
      <c r="J1185" s="47">
        <v>5000000</v>
      </c>
      <c r="K1185" s="16" t="s">
        <v>62</v>
      </c>
      <c r="L1185" s="3" t="s">
        <v>1105</v>
      </c>
      <c r="M1185" s="3" t="s">
        <v>586</v>
      </c>
      <c r="N1185" s="3" t="s">
        <v>406</v>
      </c>
    </row>
    <row r="1186" spans="1:14" x14ac:dyDescent="0.3">
      <c r="A1186" s="36" t="s">
        <v>37</v>
      </c>
      <c r="B1186" s="13">
        <v>115</v>
      </c>
      <c r="C1186" s="48" t="str">
        <f t="shared" si="44"/>
        <v>P.L. 115-334</v>
      </c>
      <c r="D1186" s="3" t="s">
        <v>2179</v>
      </c>
      <c r="E1186" s="3" t="s">
        <v>2248</v>
      </c>
      <c r="F1186" s="3" t="s">
        <v>2249</v>
      </c>
      <c r="G1186" s="49"/>
      <c r="H1186" s="46">
        <v>45199</v>
      </c>
      <c r="I1186" s="13">
        <v>2023</v>
      </c>
      <c r="J1186" s="47">
        <v>7000000</v>
      </c>
      <c r="K1186" s="16" t="s">
        <v>62</v>
      </c>
      <c r="L1186" s="3" t="s">
        <v>1105</v>
      </c>
      <c r="M1186" s="3" t="s">
        <v>586</v>
      </c>
      <c r="N1186" s="3" t="s">
        <v>406</v>
      </c>
    </row>
    <row r="1187" spans="1:14" x14ac:dyDescent="0.3">
      <c r="A1187" s="36" t="s">
        <v>37</v>
      </c>
      <c r="B1187" s="13">
        <v>115</v>
      </c>
      <c r="C1187" s="48" t="str">
        <f t="shared" si="44"/>
        <v>P.L. 115-334</v>
      </c>
      <c r="D1187" s="3" t="s">
        <v>2179</v>
      </c>
      <c r="E1187" s="3" t="s">
        <v>1289</v>
      </c>
      <c r="F1187" s="3" t="s">
        <v>2250</v>
      </c>
      <c r="G1187" s="49"/>
      <c r="H1187" s="46">
        <v>45199</v>
      </c>
      <c r="I1187" s="13">
        <v>2023</v>
      </c>
      <c r="J1187" s="47">
        <v>75000000</v>
      </c>
      <c r="K1187" s="16" t="s">
        <v>62</v>
      </c>
      <c r="L1187" s="3" t="s">
        <v>1105</v>
      </c>
      <c r="M1187" s="3" t="s">
        <v>586</v>
      </c>
      <c r="N1187" s="3" t="s">
        <v>406</v>
      </c>
    </row>
    <row r="1188" spans="1:14" x14ac:dyDescent="0.3">
      <c r="A1188" s="36" t="s">
        <v>37</v>
      </c>
      <c r="B1188" s="13">
        <v>115</v>
      </c>
      <c r="C1188" s="48" t="str">
        <f t="shared" si="44"/>
        <v>P.L. 115-334</v>
      </c>
      <c r="D1188" s="3" t="s">
        <v>2179</v>
      </c>
      <c r="E1188" s="3" t="s">
        <v>2251</v>
      </c>
      <c r="F1188" s="3" t="s">
        <v>2252</v>
      </c>
      <c r="G1188" s="49"/>
      <c r="H1188" s="46">
        <v>45199</v>
      </c>
      <c r="I1188" s="13">
        <v>2023</v>
      </c>
      <c r="J1188" s="47">
        <v>7000000</v>
      </c>
      <c r="K1188" s="16" t="s">
        <v>62</v>
      </c>
      <c r="L1188" s="3" t="s">
        <v>1105</v>
      </c>
      <c r="M1188" s="3" t="s">
        <v>586</v>
      </c>
      <c r="N1188" s="3" t="s">
        <v>406</v>
      </c>
    </row>
    <row r="1189" spans="1:14" x14ac:dyDescent="0.3">
      <c r="A1189" s="36" t="s">
        <v>37</v>
      </c>
      <c r="B1189" s="13">
        <v>115</v>
      </c>
      <c r="C1189" s="48" t="str">
        <f t="shared" si="44"/>
        <v>P.L. 115-334</v>
      </c>
      <c r="D1189" s="3" t="s">
        <v>2179</v>
      </c>
      <c r="E1189" s="3" t="s">
        <v>2253</v>
      </c>
      <c r="F1189" s="3" t="s">
        <v>2254</v>
      </c>
      <c r="G1189" s="49"/>
      <c r="H1189" s="46">
        <v>45199</v>
      </c>
      <c r="I1189" s="13">
        <v>2023</v>
      </c>
      <c r="J1189" s="47">
        <v>2000000</v>
      </c>
      <c r="K1189" s="16" t="s">
        <v>62</v>
      </c>
      <c r="L1189" s="3" t="s">
        <v>1105</v>
      </c>
      <c r="M1189" s="3" t="s">
        <v>586</v>
      </c>
      <c r="N1189" s="3" t="s">
        <v>406</v>
      </c>
    </row>
    <row r="1190" spans="1:14" x14ac:dyDescent="0.3">
      <c r="A1190" s="36" t="s">
        <v>37</v>
      </c>
      <c r="B1190" s="13">
        <v>115</v>
      </c>
      <c r="C1190" s="48" t="str">
        <f t="shared" si="44"/>
        <v>P.L. 115-334</v>
      </c>
      <c r="D1190" s="3" t="s">
        <v>2179</v>
      </c>
      <c r="E1190" s="3" t="s">
        <v>2255</v>
      </c>
      <c r="F1190" s="3" t="s">
        <v>2256</v>
      </c>
      <c r="G1190" s="49"/>
      <c r="H1190" s="46">
        <v>45199</v>
      </c>
      <c r="I1190" s="13">
        <v>2023</v>
      </c>
      <c r="J1190" s="47">
        <v>20000000</v>
      </c>
      <c r="K1190" s="16" t="s">
        <v>62</v>
      </c>
      <c r="L1190" s="3" t="s">
        <v>1105</v>
      </c>
      <c r="M1190" s="3" t="s">
        <v>586</v>
      </c>
      <c r="N1190" s="3" t="s">
        <v>406</v>
      </c>
    </row>
    <row r="1191" spans="1:14" x14ac:dyDescent="0.3">
      <c r="A1191" s="36" t="s">
        <v>37</v>
      </c>
      <c r="B1191" s="13">
        <v>115</v>
      </c>
      <c r="C1191" s="48" t="str">
        <f t="shared" si="44"/>
        <v>P.L. 115-334</v>
      </c>
      <c r="D1191" s="3" t="s">
        <v>2179</v>
      </c>
      <c r="E1191" s="3" t="s">
        <v>2257</v>
      </c>
      <c r="F1191" s="3" t="s">
        <v>2258</v>
      </c>
      <c r="G1191" s="49"/>
      <c r="H1191" s="46">
        <v>45199</v>
      </c>
      <c r="I1191" s="13">
        <v>2023</v>
      </c>
      <c r="J1191" s="47">
        <v>20000000</v>
      </c>
      <c r="K1191" s="16" t="s">
        <v>62</v>
      </c>
      <c r="L1191" s="3" t="s">
        <v>1105</v>
      </c>
      <c r="M1191" s="3" t="s">
        <v>586</v>
      </c>
      <c r="N1191" s="3" t="s">
        <v>406</v>
      </c>
    </row>
    <row r="1192" spans="1:14" x14ac:dyDescent="0.3">
      <c r="A1192" s="36" t="s">
        <v>37</v>
      </c>
      <c r="B1192" s="13">
        <v>115</v>
      </c>
      <c r="C1192" s="48" t="str">
        <f t="shared" si="44"/>
        <v>P.L. 115-334</v>
      </c>
      <c r="D1192" s="3" t="s">
        <v>2179</v>
      </c>
      <c r="E1192" s="3" t="s">
        <v>2259</v>
      </c>
      <c r="F1192" s="3" t="s">
        <v>2260</v>
      </c>
      <c r="G1192" s="49"/>
      <c r="H1192" s="46">
        <v>45199</v>
      </c>
      <c r="I1192" s="13">
        <v>2023</v>
      </c>
      <c r="J1192" s="47">
        <v>25000000</v>
      </c>
      <c r="K1192" s="16" t="s">
        <v>62</v>
      </c>
      <c r="L1192" s="3" t="s">
        <v>1105</v>
      </c>
      <c r="M1192" s="3" t="s">
        <v>586</v>
      </c>
      <c r="N1192" s="3" t="s">
        <v>406</v>
      </c>
    </row>
    <row r="1193" spans="1:14" x14ac:dyDescent="0.3">
      <c r="A1193" s="36" t="s">
        <v>37</v>
      </c>
      <c r="B1193" s="13">
        <v>115</v>
      </c>
      <c r="C1193" s="48" t="str">
        <f t="shared" si="44"/>
        <v>P.L. 115-334</v>
      </c>
      <c r="D1193" s="3" t="s">
        <v>2179</v>
      </c>
      <c r="E1193" s="3" t="s">
        <v>2261</v>
      </c>
      <c r="F1193" s="3" t="s">
        <v>2262</v>
      </c>
      <c r="G1193" s="49"/>
      <c r="H1193" s="46">
        <v>45199</v>
      </c>
      <c r="I1193" s="13">
        <v>2023</v>
      </c>
      <c r="J1193" s="47">
        <v>1000000</v>
      </c>
      <c r="K1193" s="16" t="s">
        <v>62</v>
      </c>
      <c r="L1193" s="3" t="s">
        <v>1105</v>
      </c>
      <c r="M1193" s="3" t="s">
        <v>586</v>
      </c>
      <c r="N1193" s="3" t="s">
        <v>406</v>
      </c>
    </row>
    <row r="1194" spans="1:14" x14ac:dyDescent="0.3">
      <c r="A1194" s="36" t="s">
        <v>37</v>
      </c>
      <c r="B1194" s="13">
        <v>115</v>
      </c>
      <c r="C1194" s="48" t="str">
        <f t="shared" si="44"/>
        <v>P.L. 115-334</v>
      </c>
      <c r="D1194" s="3" t="s">
        <v>2179</v>
      </c>
      <c r="E1194" s="3" t="s">
        <v>2263</v>
      </c>
      <c r="F1194" s="3" t="s">
        <v>2264</v>
      </c>
      <c r="G1194" s="49"/>
      <c r="H1194" s="46">
        <v>45199</v>
      </c>
      <c r="I1194" s="13">
        <v>2023</v>
      </c>
      <c r="J1194" s="47">
        <v>5000000</v>
      </c>
      <c r="K1194" s="16" t="s">
        <v>62</v>
      </c>
      <c r="L1194" s="3" t="s">
        <v>1105</v>
      </c>
      <c r="M1194" s="3" t="s">
        <v>586</v>
      </c>
      <c r="N1194" s="3" t="s">
        <v>406</v>
      </c>
    </row>
    <row r="1195" spans="1:14" x14ac:dyDescent="0.3">
      <c r="A1195" s="36" t="s">
        <v>37</v>
      </c>
      <c r="B1195" s="13">
        <v>115</v>
      </c>
      <c r="C1195" s="48" t="str">
        <f t="shared" si="44"/>
        <v>P.L. 115-334</v>
      </c>
      <c r="D1195" s="3" t="s">
        <v>2179</v>
      </c>
      <c r="E1195" s="3" t="s">
        <v>2265</v>
      </c>
      <c r="F1195" s="3" t="s">
        <v>2266</v>
      </c>
      <c r="G1195" s="49"/>
      <c r="H1195" s="46">
        <v>45199</v>
      </c>
      <c r="I1195" s="13">
        <v>2023</v>
      </c>
      <c r="J1195" s="47">
        <v>2000000</v>
      </c>
      <c r="K1195" s="16" t="s">
        <v>62</v>
      </c>
      <c r="L1195" s="3" t="s">
        <v>1105</v>
      </c>
      <c r="M1195" s="3" t="s">
        <v>586</v>
      </c>
      <c r="N1195" s="3" t="s">
        <v>406</v>
      </c>
    </row>
    <row r="1196" spans="1:14" x14ac:dyDescent="0.3">
      <c r="A1196" s="36" t="s">
        <v>37</v>
      </c>
      <c r="B1196" s="13">
        <v>115</v>
      </c>
      <c r="C1196" s="48" t="str">
        <f t="shared" si="44"/>
        <v>P.L. 115-334</v>
      </c>
      <c r="D1196" s="3" t="s">
        <v>2179</v>
      </c>
      <c r="E1196" s="3" t="s">
        <v>2267</v>
      </c>
      <c r="F1196" s="3" t="s">
        <v>2268</v>
      </c>
      <c r="G1196" s="49"/>
      <c r="H1196" s="46">
        <v>45199</v>
      </c>
      <c r="I1196" s="13">
        <v>2023</v>
      </c>
      <c r="J1196" s="47">
        <v>15000000</v>
      </c>
      <c r="K1196" s="16" t="s">
        <v>62</v>
      </c>
      <c r="L1196" s="3" t="s">
        <v>1105</v>
      </c>
      <c r="M1196" s="3" t="s">
        <v>586</v>
      </c>
      <c r="N1196" s="3" t="s">
        <v>406</v>
      </c>
    </row>
    <row r="1197" spans="1:14" x14ac:dyDescent="0.3">
      <c r="A1197" s="36" t="s">
        <v>37</v>
      </c>
      <c r="B1197" s="13">
        <v>115</v>
      </c>
      <c r="C1197" s="48" t="str">
        <f t="shared" si="44"/>
        <v>P.L. 115-334</v>
      </c>
      <c r="D1197" s="3" t="s">
        <v>2179</v>
      </c>
      <c r="E1197" s="3" t="s">
        <v>2269</v>
      </c>
      <c r="F1197" s="3" t="s">
        <v>2270</v>
      </c>
      <c r="G1197" s="49"/>
      <c r="H1197" s="46">
        <v>45199</v>
      </c>
      <c r="I1197" s="13">
        <v>2023</v>
      </c>
      <c r="J1197" s="47">
        <v>15000000</v>
      </c>
      <c r="K1197" s="16" t="s">
        <v>62</v>
      </c>
      <c r="L1197" s="3" t="s">
        <v>1105</v>
      </c>
      <c r="M1197" s="3" t="s">
        <v>586</v>
      </c>
      <c r="N1197" s="3" t="s">
        <v>406</v>
      </c>
    </row>
    <row r="1198" spans="1:14" x14ac:dyDescent="0.3">
      <c r="A1198" s="36" t="s">
        <v>37</v>
      </c>
      <c r="B1198" s="13">
        <v>115</v>
      </c>
      <c r="C1198" s="48" t="str">
        <f t="shared" si="44"/>
        <v>P.L. 115-334</v>
      </c>
      <c r="D1198" s="3" t="s">
        <v>2179</v>
      </c>
      <c r="E1198" s="3" t="s">
        <v>2271</v>
      </c>
      <c r="F1198" s="3" t="s">
        <v>2272</v>
      </c>
      <c r="G1198" s="49"/>
      <c r="H1198" s="46">
        <v>45199</v>
      </c>
      <c r="I1198" s="13">
        <v>2023</v>
      </c>
      <c r="J1198" s="16" t="s">
        <v>12</v>
      </c>
      <c r="K1198" s="16" t="s">
        <v>62</v>
      </c>
      <c r="L1198" s="3" t="s">
        <v>1105</v>
      </c>
      <c r="M1198" s="3" t="s">
        <v>586</v>
      </c>
      <c r="N1198" s="3" t="s">
        <v>406</v>
      </c>
    </row>
    <row r="1199" spans="1:14" x14ac:dyDescent="0.3">
      <c r="A1199" s="36" t="s">
        <v>37</v>
      </c>
      <c r="B1199" s="13">
        <v>115</v>
      </c>
      <c r="C1199" s="48" t="str">
        <f t="shared" si="44"/>
        <v>P.L. 115-334</v>
      </c>
      <c r="D1199" s="3" t="s">
        <v>2179</v>
      </c>
      <c r="E1199" s="3" t="s">
        <v>2209</v>
      </c>
      <c r="F1199" s="3" t="s">
        <v>2273</v>
      </c>
      <c r="G1199" s="49"/>
      <c r="H1199" s="46">
        <v>45199</v>
      </c>
      <c r="I1199" s="13">
        <v>2023</v>
      </c>
      <c r="J1199" s="47">
        <v>8000000</v>
      </c>
      <c r="K1199" s="16" t="s">
        <v>62</v>
      </c>
      <c r="L1199" s="3" t="s">
        <v>1105</v>
      </c>
      <c r="M1199" s="3" t="s">
        <v>586</v>
      </c>
      <c r="N1199" s="3" t="s">
        <v>406</v>
      </c>
    </row>
    <row r="1200" spans="1:14" x14ac:dyDescent="0.3">
      <c r="A1200" s="36" t="s">
        <v>37</v>
      </c>
      <c r="B1200" s="13">
        <v>115</v>
      </c>
      <c r="C1200" s="48" t="str">
        <f t="shared" si="44"/>
        <v>P.L. 115-334</v>
      </c>
      <c r="D1200" s="3" t="s">
        <v>2179</v>
      </c>
      <c r="E1200" s="3" t="s">
        <v>632</v>
      </c>
      <c r="F1200" s="3" t="s">
        <v>2274</v>
      </c>
      <c r="G1200" s="49"/>
      <c r="H1200" s="46">
        <v>45199</v>
      </c>
      <c r="I1200" s="13">
        <v>2023</v>
      </c>
      <c r="J1200" s="47">
        <v>10000000</v>
      </c>
      <c r="K1200" s="16" t="s">
        <v>62</v>
      </c>
      <c r="L1200" s="3" t="s">
        <v>1105</v>
      </c>
      <c r="M1200" s="3" t="s">
        <v>586</v>
      </c>
      <c r="N1200" s="3" t="s">
        <v>406</v>
      </c>
    </row>
    <row r="1201" spans="1:14" x14ac:dyDescent="0.3">
      <c r="A1201" s="36" t="s">
        <v>37</v>
      </c>
      <c r="B1201" s="13">
        <v>115</v>
      </c>
      <c r="C1201" s="48" t="str">
        <f t="shared" si="44"/>
        <v>P.L. 115-334</v>
      </c>
      <c r="D1201" s="3" t="s">
        <v>2179</v>
      </c>
      <c r="E1201" s="3" t="s">
        <v>2275</v>
      </c>
      <c r="F1201" s="3" t="s">
        <v>2276</v>
      </c>
      <c r="G1201" s="49"/>
      <c r="H1201" s="46">
        <v>45199</v>
      </c>
      <c r="I1201" s="13">
        <v>2023</v>
      </c>
      <c r="J1201" s="47">
        <v>80000000</v>
      </c>
      <c r="K1201" s="16" t="s">
        <v>62</v>
      </c>
      <c r="L1201" s="3" t="s">
        <v>1105</v>
      </c>
      <c r="M1201" s="3" t="s">
        <v>586</v>
      </c>
      <c r="N1201" s="3" t="s">
        <v>406</v>
      </c>
    </row>
    <row r="1202" spans="1:14" x14ac:dyDescent="0.3">
      <c r="A1202" s="36" t="s">
        <v>37</v>
      </c>
      <c r="B1202" s="13">
        <v>115</v>
      </c>
      <c r="C1202" s="48" t="str">
        <f t="shared" si="44"/>
        <v>P.L. 115-334</v>
      </c>
      <c r="D1202" s="3" t="s">
        <v>2179</v>
      </c>
      <c r="E1202" s="3" t="s">
        <v>2277</v>
      </c>
      <c r="F1202" s="3" t="s">
        <v>2278</v>
      </c>
      <c r="G1202" s="49"/>
      <c r="H1202" s="46">
        <v>45199</v>
      </c>
      <c r="I1202" s="13">
        <v>2023</v>
      </c>
      <c r="J1202" s="47">
        <v>5000000</v>
      </c>
      <c r="K1202" s="16" t="s">
        <v>62</v>
      </c>
      <c r="L1202" s="3" t="s">
        <v>1105</v>
      </c>
      <c r="M1202" s="3" t="s">
        <v>586</v>
      </c>
      <c r="N1202" s="3" t="s">
        <v>406</v>
      </c>
    </row>
    <row r="1203" spans="1:14" x14ac:dyDescent="0.3">
      <c r="A1203" s="36" t="s">
        <v>37</v>
      </c>
      <c r="B1203" s="13">
        <v>115</v>
      </c>
      <c r="C1203" s="48" t="str">
        <f t="shared" si="44"/>
        <v>P.L. 115-334</v>
      </c>
      <c r="D1203" s="3" t="s">
        <v>2179</v>
      </c>
      <c r="E1203" s="3" t="s">
        <v>2279</v>
      </c>
      <c r="F1203" s="3" t="s">
        <v>2280</v>
      </c>
      <c r="G1203" s="49"/>
      <c r="H1203" s="46">
        <v>45199</v>
      </c>
      <c r="I1203" s="13">
        <v>2023</v>
      </c>
      <c r="J1203" s="47">
        <v>5000000</v>
      </c>
      <c r="K1203" s="16" t="s">
        <v>62</v>
      </c>
      <c r="L1203" s="3" t="s">
        <v>1105</v>
      </c>
      <c r="M1203" s="3" t="s">
        <v>586</v>
      </c>
      <c r="N1203" s="3" t="s">
        <v>406</v>
      </c>
    </row>
    <row r="1204" spans="1:14" x14ac:dyDescent="0.3">
      <c r="A1204" s="36" t="s">
        <v>37</v>
      </c>
      <c r="B1204" s="13">
        <v>115</v>
      </c>
      <c r="C1204" s="48" t="str">
        <f t="shared" si="44"/>
        <v>P.L. 115-334</v>
      </c>
      <c r="D1204" s="3" t="s">
        <v>2179</v>
      </c>
      <c r="E1204" s="3" t="s">
        <v>2281</v>
      </c>
      <c r="F1204" s="3" t="s">
        <v>2282</v>
      </c>
      <c r="G1204" s="49"/>
      <c r="H1204" s="46">
        <v>45199</v>
      </c>
      <c r="I1204" s="13">
        <v>2023</v>
      </c>
      <c r="J1204" s="47">
        <v>150000000</v>
      </c>
      <c r="K1204" s="16" t="s">
        <v>62</v>
      </c>
      <c r="L1204" s="3" t="s">
        <v>1105</v>
      </c>
      <c r="M1204" s="3" t="s">
        <v>586</v>
      </c>
      <c r="N1204" s="3" t="s">
        <v>406</v>
      </c>
    </row>
    <row r="1205" spans="1:14" x14ac:dyDescent="0.3">
      <c r="A1205" s="36" t="s">
        <v>37</v>
      </c>
      <c r="B1205" s="13">
        <v>115</v>
      </c>
      <c r="C1205" s="48" t="str">
        <f t="shared" si="44"/>
        <v>P.L. 115-334</v>
      </c>
      <c r="D1205" s="3" t="s">
        <v>2179</v>
      </c>
      <c r="E1205" s="3" t="s">
        <v>2283</v>
      </c>
      <c r="F1205" s="3" t="s">
        <v>2284</v>
      </c>
      <c r="G1205" s="49"/>
      <c r="H1205" s="46">
        <v>45199</v>
      </c>
      <c r="I1205" s="13">
        <v>2023</v>
      </c>
      <c r="J1205" s="47">
        <v>20000000</v>
      </c>
      <c r="K1205" s="16" t="s">
        <v>62</v>
      </c>
      <c r="L1205" s="3" t="s">
        <v>1105</v>
      </c>
      <c r="M1205" s="3" t="s">
        <v>586</v>
      </c>
      <c r="N1205" s="3" t="s">
        <v>406</v>
      </c>
    </row>
    <row r="1206" spans="1:14" x14ac:dyDescent="0.3">
      <c r="A1206" s="36" t="s">
        <v>37</v>
      </c>
      <c r="B1206" s="13">
        <v>115</v>
      </c>
      <c r="C1206" s="48" t="str">
        <f t="shared" si="44"/>
        <v>P.L. 115-334</v>
      </c>
      <c r="D1206" s="3" t="s">
        <v>2179</v>
      </c>
      <c r="E1206" s="3" t="s">
        <v>2285</v>
      </c>
      <c r="F1206" s="3" t="s">
        <v>2286</v>
      </c>
      <c r="G1206" s="49"/>
      <c r="H1206" s="46">
        <v>45199</v>
      </c>
      <c r="I1206" s="13">
        <v>2023</v>
      </c>
      <c r="J1206" s="47">
        <v>10000000</v>
      </c>
      <c r="K1206" s="16" t="s">
        <v>62</v>
      </c>
      <c r="L1206" s="3" t="s">
        <v>1105</v>
      </c>
      <c r="M1206" s="3" t="s">
        <v>586</v>
      </c>
      <c r="N1206" s="3" t="s">
        <v>406</v>
      </c>
    </row>
    <row r="1207" spans="1:14" x14ac:dyDescent="0.3">
      <c r="A1207" s="36" t="s">
        <v>37</v>
      </c>
      <c r="B1207" s="13">
        <v>115</v>
      </c>
      <c r="C1207" s="48" t="str">
        <f t="shared" si="44"/>
        <v>P.L. 115-334</v>
      </c>
      <c r="D1207" s="3" t="s">
        <v>2179</v>
      </c>
      <c r="E1207" s="3" t="s">
        <v>2287</v>
      </c>
      <c r="F1207" s="3" t="s">
        <v>2288</v>
      </c>
      <c r="G1207" s="49"/>
      <c r="H1207" s="46">
        <v>45199</v>
      </c>
      <c r="I1207" s="13">
        <v>2023</v>
      </c>
      <c r="J1207" s="47">
        <v>40000000</v>
      </c>
      <c r="K1207" s="16" t="s">
        <v>62</v>
      </c>
      <c r="L1207" s="3" t="s">
        <v>1105</v>
      </c>
      <c r="M1207" s="3" t="s">
        <v>586</v>
      </c>
      <c r="N1207" s="3" t="s">
        <v>406</v>
      </c>
    </row>
    <row r="1208" spans="1:14" x14ac:dyDescent="0.3">
      <c r="A1208" s="36" t="s">
        <v>37</v>
      </c>
      <c r="B1208" s="13">
        <v>115</v>
      </c>
      <c r="C1208" s="48" t="str">
        <f t="shared" si="44"/>
        <v>P.L. 115-334</v>
      </c>
      <c r="D1208" s="3" t="s">
        <v>2179</v>
      </c>
      <c r="E1208" s="3" t="s">
        <v>2289</v>
      </c>
      <c r="F1208" s="3" t="s">
        <v>2290</v>
      </c>
      <c r="G1208" s="49"/>
      <c r="H1208" s="46">
        <v>45199</v>
      </c>
      <c r="I1208" s="13">
        <v>2023</v>
      </c>
      <c r="J1208" s="47">
        <v>25000000</v>
      </c>
      <c r="K1208" s="16" t="s">
        <v>62</v>
      </c>
      <c r="L1208" s="3" t="s">
        <v>1105</v>
      </c>
      <c r="M1208" s="3" t="s">
        <v>586</v>
      </c>
      <c r="N1208" s="3" t="s">
        <v>406</v>
      </c>
    </row>
    <row r="1209" spans="1:14" x14ac:dyDescent="0.3">
      <c r="A1209" s="36" t="s">
        <v>37</v>
      </c>
      <c r="B1209" s="13">
        <v>115</v>
      </c>
      <c r="C1209" s="48" t="str">
        <f t="shared" si="44"/>
        <v>P.L. 115-334</v>
      </c>
      <c r="D1209" s="3" t="s">
        <v>2179</v>
      </c>
      <c r="E1209" s="3" t="s">
        <v>2291</v>
      </c>
      <c r="F1209" s="3" t="s">
        <v>2292</v>
      </c>
      <c r="G1209" s="49"/>
      <c r="H1209" s="46">
        <v>45199</v>
      </c>
      <c r="I1209" s="13">
        <v>2023</v>
      </c>
      <c r="J1209" s="47">
        <v>10000000</v>
      </c>
      <c r="K1209" s="16" t="s">
        <v>62</v>
      </c>
      <c r="L1209" s="3" t="s">
        <v>1105</v>
      </c>
      <c r="M1209" s="3" t="s">
        <v>586</v>
      </c>
      <c r="N1209" s="3" t="s">
        <v>406</v>
      </c>
    </row>
    <row r="1210" spans="1:14" x14ac:dyDescent="0.3">
      <c r="A1210" s="36" t="s">
        <v>37</v>
      </c>
      <c r="B1210" s="13">
        <v>115</v>
      </c>
      <c r="C1210" s="48" t="str">
        <f t="shared" si="44"/>
        <v>P.L. 115-334</v>
      </c>
      <c r="D1210" s="3" t="s">
        <v>2179</v>
      </c>
      <c r="E1210" s="3" t="s">
        <v>2293</v>
      </c>
      <c r="F1210" s="3" t="s">
        <v>2294</v>
      </c>
      <c r="G1210" s="49"/>
      <c r="H1210" s="46">
        <v>45199</v>
      </c>
      <c r="I1210" s="13">
        <v>2023</v>
      </c>
      <c r="J1210" s="47">
        <v>75000000</v>
      </c>
      <c r="K1210" s="16" t="s">
        <v>62</v>
      </c>
      <c r="L1210" s="3" t="s">
        <v>1105</v>
      </c>
      <c r="M1210" s="3" t="s">
        <v>586</v>
      </c>
      <c r="N1210" s="3" t="s">
        <v>406</v>
      </c>
    </row>
    <row r="1211" spans="1:14" x14ac:dyDescent="0.3">
      <c r="A1211" s="36" t="s">
        <v>37</v>
      </c>
      <c r="B1211" s="13">
        <v>115</v>
      </c>
      <c r="C1211" s="48" t="str">
        <f t="shared" si="44"/>
        <v>P.L. 115-334</v>
      </c>
      <c r="D1211" s="3" t="s">
        <v>2179</v>
      </c>
      <c r="E1211" s="3" t="s">
        <v>632</v>
      </c>
      <c r="F1211" s="3" t="s">
        <v>2295</v>
      </c>
      <c r="G1211" s="49"/>
      <c r="H1211" s="46">
        <v>45199</v>
      </c>
      <c r="I1211" s="13">
        <v>2023</v>
      </c>
      <c r="J1211" s="47">
        <v>10000000</v>
      </c>
      <c r="K1211" s="16" t="s">
        <v>62</v>
      </c>
      <c r="L1211" s="3" t="s">
        <v>1105</v>
      </c>
      <c r="M1211" s="3" t="s">
        <v>586</v>
      </c>
      <c r="N1211" s="3" t="s">
        <v>406</v>
      </c>
    </row>
    <row r="1212" spans="1:14" x14ac:dyDescent="0.3">
      <c r="A1212" s="36" t="s">
        <v>37</v>
      </c>
      <c r="B1212" s="13">
        <v>115</v>
      </c>
      <c r="C1212" s="48" t="str">
        <f t="shared" ref="C1212:C1243" si="45">HYPERLINK("https://uscode.house.gov/statutes/pl/115/334.pdf", "P.L. 115-334")</f>
        <v>P.L. 115-334</v>
      </c>
      <c r="D1212" s="3" t="s">
        <v>2179</v>
      </c>
      <c r="E1212" s="3" t="s">
        <v>2296</v>
      </c>
      <c r="F1212" s="3" t="s">
        <v>2297</v>
      </c>
      <c r="G1212" s="49"/>
      <c r="H1212" s="46">
        <v>45199</v>
      </c>
      <c r="I1212" s="13">
        <v>2023</v>
      </c>
      <c r="J1212" s="47">
        <v>2000000</v>
      </c>
      <c r="K1212" s="16" t="s">
        <v>62</v>
      </c>
      <c r="L1212" s="3" t="s">
        <v>1105</v>
      </c>
      <c r="M1212" s="3" t="s">
        <v>586</v>
      </c>
      <c r="N1212" s="3" t="s">
        <v>406</v>
      </c>
    </row>
    <row r="1213" spans="1:14" x14ac:dyDescent="0.3">
      <c r="A1213" s="36" t="s">
        <v>37</v>
      </c>
      <c r="B1213" s="13">
        <v>115</v>
      </c>
      <c r="C1213" s="48" t="str">
        <f t="shared" si="45"/>
        <v>P.L. 115-334</v>
      </c>
      <c r="D1213" s="3" t="s">
        <v>2179</v>
      </c>
      <c r="E1213" s="3" t="s">
        <v>2298</v>
      </c>
      <c r="F1213" s="3" t="s">
        <v>2299</v>
      </c>
      <c r="G1213" s="49"/>
      <c r="H1213" s="46">
        <v>45199</v>
      </c>
      <c r="I1213" s="13">
        <v>2023</v>
      </c>
      <c r="J1213" s="47">
        <v>40000000</v>
      </c>
      <c r="K1213" s="16" t="s">
        <v>62</v>
      </c>
      <c r="L1213" s="3" t="s">
        <v>1105</v>
      </c>
      <c r="M1213" s="3" t="s">
        <v>586</v>
      </c>
      <c r="N1213" s="3" t="s">
        <v>406</v>
      </c>
    </row>
    <row r="1214" spans="1:14" x14ac:dyDescent="0.3">
      <c r="A1214" s="36" t="s">
        <v>37</v>
      </c>
      <c r="B1214" s="13">
        <v>115</v>
      </c>
      <c r="C1214" s="48" t="str">
        <f t="shared" si="45"/>
        <v>P.L. 115-334</v>
      </c>
      <c r="D1214" s="3" t="s">
        <v>2179</v>
      </c>
      <c r="E1214" s="3" t="s">
        <v>2300</v>
      </c>
      <c r="F1214" s="3" t="s">
        <v>2301</v>
      </c>
      <c r="G1214" s="49"/>
      <c r="H1214" s="46">
        <v>45199</v>
      </c>
      <c r="I1214" s="13">
        <v>2023</v>
      </c>
      <c r="J1214" s="47">
        <v>20000000</v>
      </c>
      <c r="K1214" s="16" t="s">
        <v>62</v>
      </c>
      <c r="L1214" s="3" t="s">
        <v>1105</v>
      </c>
      <c r="M1214" s="3" t="s">
        <v>586</v>
      </c>
      <c r="N1214" s="3" t="s">
        <v>406</v>
      </c>
    </row>
    <row r="1215" spans="1:14" x14ac:dyDescent="0.3">
      <c r="A1215" s="36" t="s">
        <v>37</v>
      </c>
      <c r="B1215" s="13">
        <v>115</v>
      </c>
      <c r="C1215" s="48" t="str">
        <f t="shared" si="45"/>
        <v>P.L. 115-334</v>
      </c>
      <c r="D1215" s="3" t="s">
        <v>2179</v>
      </c>
      <c r="E1215" s="3" t="s">
        <v>2302</v>
      </c>
      <c r="F1215" s="3" t="s">
        <v>2303</v>
      </c>
      <c r="G1215" s="49"/>
      <c r="H1215" s="46">
        <v>45199</v>
      </c>
      <c r="I1215" s="13">
        <v>2023</v>
      </c>
      <c r="J1215" s="47">
        <v>5000000</v>
      </c>
      <c r="K1215" s="16" t="s">
        <v>62</v>
      </c>
      <c r="L1215" s="3" t="s">
        <v>1105</v>
      </c>
      <c r="M1215" s="3" t="s">
        <v>586</v>
      </c>
      <c r="N1215" s="3" t="s">
        <v>406</v>
      </c>
    </row>
    <row r="1216" spans="1:14" x14ac:dyDescent="0.3">
      <c r="A1216" s="36" t="s">
        <v>37</v>
      </c>
      <c r="B1216" s="13">
        <v>115</v>
      </c>
      <c r="C1216" s="48" t="str">
        <f t="shared" si="45"/>
        <v>P.L. 115-334</v>
      </c>
      <c r="D1216" s="3" t="s">
        <v>2179</v>
      </c>
      <c r="E1216" s="3" t="s">
        <v>2304</v>
      </c>
      <c r="F1216" s="3" t="s">
        <v>2305</v>
      </c>
      <c r="G1216" s="49"/>
      <c r="H1216" s="46">
        <v>45199</v>
      </c>
      <c r="I1216" s="13">
        <v>2023</v>
      </c>
      <c r="J1216" s="47">
        <v>20000000</v>
      </c>
      <c r="K1216" s="16" t="s">
        <v>62</v>
      </c>
      <c r="L1216" s="3" t="s">
        <v>1105</v>
      </c>
      <c r="M1216" s="3" t="s">
        <v>586</v>
      </c>
      <c r="N1216" s="3" t="s">
        <v>406</v>
      </c>
    </row>
    <row r="1217" spans="1:14" x14ac:dyDescent="0.3">
      <c r="A1217" s="36" t="s">
        <v>37</v>
      </c>
      <c r="B1217" s="13">
        <v>115</v>
      </c>
      <c r="C1217" s="48" t="str">
        <f t="shared" si="45"/>
        <v>P.L. 115-334</v>
      </c>
      <c r="D1217" s="3" t="s">
        <v>2179</v>
      </c>
      <c r="E1217" s="3" t="s">
        <v>638</v>
      </c>
      <c r="F1217" s="3" t="s">
        <v>2306</v>
      </c>
      <c r="G1217" s="49"/>
      <c r="H1217" s="46">
        <v>45199</v>
      </c>
      <c r="I1217" s="13">
        <v>2023</v>
      </c>
      <c r="J1217" s="47">
        <v>1000000</v>
      </c>
      <c r="K1217" s="16" t="s">
        <v>62</v>
      </c>
      <c r="L1217" s="3" t="s">
        <v>1105</v>
      </c>
      <c r="M1217" s="3" t="s">
        <v>586</v>
      </c>
      <c r="N1217" s="3" t="s">
        <v>406</v>
      </c>
    </row>
    <row r="1218" spans="1:14" x14ac:dyDescent="0.3">
      <c r="A1218" s="36" t="s">
        <v>37</v>
      </c>
      <c r="B1218" s="13">
        <v>115</v>
      </c>
      <c r="C1218" s="48" t="str">
        <f t="shared" si="45"/>
        <v>P.L. 115-334</v>
      </c>
      <c r="D1218" s="3" t="s">
        <v>2179</v>
      </c>
      <c r="E1218" s="3" t="s">
        <v>2227</v>
      </c>
      <c r="F1218" s="3" t="s">
        <v>2228</v>
      </c>
      <c r="G1218" s="49"/>
      <c r="H1218" s="46">
        <v>45199</v>
      </c>
      <c r="I1218" s="13">
        <v>2023</v>
      </c>
      <c r="J1218" s="47">
        <v>1000000</v>
      </c>
      <c r="K1218" s="16" t="s">
        <v>62</v>
      </c>
      <c r="L1218" s="3" t="s">
        <v>1105</v>
      </c>
      <c r="M1218" s="3" t="s">
        <v>586</v>
      </c>
      <c r="N1218" s="3" t="s">
        <v>406</v>
      </c>
    </row>
    <row r="1219" spans="1:14" x14ac:dyDescent="0.3">
      <c r="A1219" s="36" t="s">
        <v>37</v>
      </c>
      <c r="B1219" s="13">
        <v>115</v>
      </c>
      <c r="C1219" s="48" t="str">
        <f t="shared" si="45"/>
        <v>P.L. 115-334</v>
      </c>
      <c r="D1219" s="3" t="s">
        <v>2179</v>
      </c>
      <c r="E1219" s="3" t="s">
        <v>2307</v>
      </c>
      <c r="F1219" s="3" t="s">
        <v>2308</v>
      </c>
      <c r="G1219" s="49"/>
      <c r="H1219" s="46">
        <v>45199</v>
      </c>
      <c r="I1219" s="13">
        <v>2023</v>
      </c>
      <c r="J1219" s="47">
        <v>5000000</v>
      </c>
      <c r="K1219" s="16" t="s">
        <v>62</v>
      </c>
      <c r="L1219" s="3" t="s">
        <v>1105</v>
      </c>
      <c r="M1219" s="3" t="s">
        <v>586</v>
      </c>
      <c r="N1219" s="3" t="s">
        <v>406</v>
      </c>
    </row>
    <row r="1220" spans="1:14" x14ac:dyDescent="0.3">
      <c r="A1220" s="36" t="s">
        <v>37</v>
      </c>
      <c r="B1220" s="13">
        <v>115</v>
      </c>
      <c r="C1220" s="48" t="str">
        <f t="shared" si="45"/>
        <v>P.L. 115-334</v>
      </c>
      <c r="D1220" s="3" t="s">
        <v>2179</v>
      </c>
      <c r="E1220" s="3" t="s">
        <v>2309</v>
      </c>
      <c r="F1220" s="3" t="s">
        <v>2310</v>
      </c>
      <c r="G1220" s="49"/>
      <c r="H1220" s="46">
        <v>45199</v>
      </c>
      <c r="I1220" s="13">
        <v>2023</v>
      </c>
      <c r="J1220" s="47">
        <v>5000000</v>
      </c>
      <c r="K1220" s="16" t="s">
        <v>62</v>
      </c>
      <c r="L1220" s="3" t="s">
        <v>1105</v>
      </c>
      <c r="M1220" s="3" t="s">
        <v>586</v>
      </c>
      <c r="N1220" s="3" t="s">
        <v>406</v>
      </c>
    </row>
    <row r="1221" spans="1:14" x14ac:dyDescent="0.3">
      <c r="A1221" s="36" t="s">
        <v>37</v>
      </c>
      <c r="B1221" s="13">
        <v>115</v>
      </c>
      <c r="C1221" s="48" t="str">
        <f t="shared" si="45"/>
        <v>P.L. 115-334</v>
      </c>
      <c r="D1221" s="3" t="s">
        <v>2179</v>
      </c>
      <c r="E1221" s="3" t="s">
        <v>2311</v>
      </c>
      <c r="F1221" s="3" t="s">
        <v>2312</v>
      </c>
      <c r="G1221" s="49"/>
      <c r="H1221" s="46">
        <v>45199</v>
      </c>
      <c r="I1221" s="13">
        <v>2023</v>
      </c>
      <c r="J1221" s="47">
        <v>7000000</v>
      </c>
      <c r="K1221" s="16" t="s">
        <v>62</v>
      </c>
      <c r="L1221" s="3" t="s">
        <v>1105</v>
      </c>
      <c r="M1221" s="3" t="s">
        <v>586</v>
      </c>
      <c r="N1221" s="3" t="s">
        <v>406</v>
      </c>
    </row>
    <row r="1222" spans="1:14" x14ac:dyDescent="0.3">
      <c r="A1222" s="36" t="s">
        <v>37</v>
      </c>
      <c r="B1222" s="13">
        <v>115</v>
      </c>
      <c r="C1222" s="48" t="str">
        <f t="shared" si="45"/>
        <v>P.L. 115-334</v>
      </c>
      <c r="D1222" s="3" t="s">
        <v>2179</v>
      </c>
      <c r="E1222" s="3" t="s">
        <v>2271</v>
      </c>
      <c r="F1222" s="3" t="s">
        <v>2313</v>
      </c>
      <c r="G1222" s="49"/>
      <c r="H1222" s="46">
        <v>45199</v>
      </c>
      <c r="I1222" s="13">
        <v>2023</v>
      </c>
      <c r="J1222" s="47">
        <v>5000000</v>
      </c>
      <c r="K1222" s="16" t="s">
        <v>62</v>
      </c>
      <c r="L1222" s="3" t="s">
        <v>1105</v>
      </c>
      <c r="M1222" s="3" t="s">
        <v>586</v>
      </c>
      <c r="N1222" s="3" t="s">
        <v>406</v>
      </c>
    </row>
    <row r="1223" spans="1:14" x14ac:dyDescent="0.3">
      <c r="A1223" s="36" t="s">
        <v>37</v>
      </c>
      <c r="B1223" s="13">
        <v>115</v>
      </c>
      <c r="C1223" s="48" t="str">
        <f t="shared" si="45"/>
        <v>P.L. 115-334</v>
      </c>
      <c r="D1223" s="3" t="s">
        <v>2179</v>
      </c>
      <c r="E1223" s="3" t="s">
        <v>2314</v>
      </c>
      <c r="F1223" s="3" t="s">
        <v>2315</v>
      </c>
      <c r="G1223" s="49"/>
      <c r="H1223" s="46">
        <v>45199</v>
      </c>
      <c r="I1223" s="13">
        <v>2023</v>
      </c>
      <c r="J1223" s="47">
        <v>12000000</v>
      </c>
      <c r="K1223" s="16" t="s">
        <v>62</v>
      </c>
      <c r="L1223" s="3" t="s">
        <v>1105</v>
      </c>
      <c r="M1223" s="3" t="s">
        <v>586</v>
      </c>
      <c r="N1223" s="3" t="s">
        <v>406</v>
      </c>
    </row>
    <row r="1224" spans="1:14" x14ac:dyDescent="0.3">
      <c r="A1224" s="36" t="s">
        <v>37</v>
      </c>
      <c r="B1224" s="13">
        <v>115</v>
      </c>
      <c r="C1224" s="48" t="str">
        <f t="shared" si="45"/>
        <v>P.L. 115-334</v>
      </c>
      <c r="D1224" s="3" t="s">
        <v>2179</v>
      </c>
      <c r="E1224" s="3" t="s">
        <v>2316</v>
      </c>
      <c r="F1224" s="3" t="s">
        <v>2317</v>
      </c>
      <c r="G1224" s="49"/>
      <c r="H1224" s="46">
        <v>45199</v>
      </c>
      <c r="I1224" s="13">
        <v>2023</v>
      </c>
      <c r="J1224" s="47">
        <v>200000000</v>
      </c>
      <c r="K1224" s="16" t="s">
        <v>62</v>
      </c>
      <c r="L1224" s="3" t="s">
        <v>1105</v>
      </c>
      <c r="M1224" s="3" t="s">
        <v>586</v>
      </c>
      <c r="N1224" s="3" t="s">
        <v>406</v>
      </c>
    </row>
    <row r="1225" spans="1:14" x14ac:dyDescent="0.3">
      <c r="A1225" s="36" t="s">
        <v>37</v>
      </c>
      <c r="B1225" s="13">
        <v>115</v>
      </c>
      <c r="C1225" s="48" t="str">
        <f t="shared" si="45"/>
        <v>P.L. 115-334</v>
      </c>
      <c r="D1225" s="3" t="s">
        <v>2179</v>
      </c>
      <c r="E1225" s="3" t="s">
        <v>2318</v>
      </c>
      <c r="F1225" s="3" t="s">
        <v>2319</v>
      </c>
      <c r="G1225" s="49"/>
      <c r="H1225" s="46">
        <v>45199</v>
      </c>
      <c r="I1225" s="13">
        <v>2023</v>
      </c>
      <c r="J1225" s="47">
        <v>20000000</v>
      </c>
      <c r="K1225" s="16" t="s">
        <v>62</v>
      </c>
      <c r="L1225" s="3" t="s">
        <v>1105</v>
      </c>
      <c r="M1225" s="3" t="s">
        <v>586</v>
      </c>
      <c r="N1225" s="3" t="s">
        <v>406</v>
      </c>
    </row>
    <row r="1226" spans="1:14" x14ac:dyDescent="0.3">
      <c r="A1226" s="36" t="s">
        <v>37</v>
      </c>
      <c r="B1226" s="13">
        <v>115</v>
      </c>
      <c r="C1226" s="48" t="str">
        <f t="shared" si="45"/>
        <v>P.L. 115-334</v>
      </c>
      <c r="D1226" s="3" t="s">
        <v>2179</v>
      </c>
      <c r="E1226" s="3" t="s">
        <v>2320</v>
      </c>
      <c r="F1226" s="3" t="s">
        <v>2321</v>
      </c>
      <c r="G1226" s="49"/>
      <c r="H1226" s="46">
        <v>45199</v>
      </c>
      <c r="I1226" s="13">
        <v>2023</v>
      </c>
      <c r="J1226" s="16" t="s">
        <v>12</v>
      </c>
      <c r="K1226" s="16" t="s">
        <v>62</v>
      </c>
      <c r="L1226" s="3" t="s">
        <v>1105</v>
      </c>
      <c r="M1226" s="3" t="s">
        <v>586</v>
      </c>
      <c r="N1226" s="3" t="s">
        <v>406</v>
      </c>
    </row>
    <row r="1227" spans="1:14" x14ac:dyDescent="0.3">
      <c r="A1227" s="36" t="s">
        <v>37</v>
      </c>
      <c r="B1227" s="13">
        <v>115</v>
      </c>
      <c r="C1227" s="48" t="str">
        <f t="shared" si="45"/>
        <v>P.L. 115-334</v>
      </c>
      <c r="D1227" s="3" t="s">
        <v>2179</v>
      </c>
      <c r="E1227" s="3" t="s">
        <v>2229</v>
      </c>
      <c r="F1227" s="3" t="s">
        <v>2322</v>
      </c>
      <c r="G1227" s="49"/>
      <c r="H1227" s="46">
        <v>45199</v>
      </c>
      <c r="I1227" s="13">
        <v>2023</v>
      </c>
      <c r="J1227" s="47">
        <v>25000000</v>
      </c>
      <c r="K1227" s="16" t="s">
        <v>62</v>
      </c>
      <c r="L1227" s="3" t="s">
        <v>1105</v>
      </c>
      <c r="M1227" s="3" t="s">
        <v>586</v>
      </c>
      <c r="N1227" s="3" t="s">
        <v>406</v>
      </c>
    </row>
    <row r="1228" spans="1:14" x14ac:dyDescent="0.3">
      <c r="A1228" s="36" t="s">
        <v>37</v>
      </c>
      <c r="B1228" s="13">
        <v>115</v>
      </c>
      <c r="C1228" s="48" t="str">
        <f t="shared" si="45"/>
        <v>P.L. 115-334</v>
      </c>
      <c r="D1228" s="3" t="s">
        <v>2179</v>
      </c>
      <c r="E1228" s="3" t="s">
        <v>2229</v>
      </c>
      <c r="F1228" s="3" t="s">
        <v>2323</v>
      </c>
      <c r="G1228" s="49"/>
      <c r="H1228" s="46">
        <v>45199</v>
      </c>
      <c r="I1228" s="13">
        <v>2023</v>
      </c>
      <c r="J1228" s="47">
        <v>20000000</v>
      </c>
      <c r="K1228" s="16" t="s">
        <v>62</v>
      </c>
      <c r="L1228" s="3" t="s">
        <v>1105</v>
      </c>
      <c r="M1228" s="3" t="s">
        <v>586</v>
      </c>
      <c r="N1228" s="3" t="s">
        <v>406</v>
      </c>
    </row>
    <row r="1229" spans="1:14" x14ac:dyDescent="0.3">
      <c r="A1229" s="36" t="s">
        <v>37</v>
      </c>
      <c r="B1229" s="13">
        <v>115</v>
      </c>
      <c r="C1229" s="48" t="str">
        <f t="shared" si="45"/>
        <v>P.L. 115-334</v>
      </c>
      <c r="D1229" s="3" t="s">
        <v>2179</v>
      </c>
      <c r="E1229" s="3" t="s">
        <v>2229</v>
      </c>
      <c r="F1229" s="3" t="s">
        <v>2324</v>
      </c>
      <c r="G1229" s="49"/>
      <c r="H1229" s="46">
        <v>45199</v>
      </c>
      <c r="I1229" s="13">
        <v>2023</v>
      </c>
      <c r="J1229" s="47">
        <v>10000000</v>
      </c>
      <c r="K1229" s="16" t="s">
        <v>62</v>
      </c>
      <c r="L1229" s="3" t="s">
        <v>1105</v>
      </c>
      <c r="M1229" s="3" t="s">
        <v>586</v>
      </c>
      <c r="N1229" s="3" t="s">
        <v>406</v>
      </c>
    </row>
    <row r="1230" spans="1:14" x14ac:dyDescent="0.3">
      <c r="A1230" s="36" t="s">
        <v>37</v>
      </c>
      <c r="B1230" s="13">
        <v>115</v>
      </c>
      <c r="C1230" s="48" t="str">
        <f t="shared" si="45"/>
        <v>P.L. 115-334</v>
      </c>
      <c r="D1230" s="3" t="s">
        <v>2179</v>
      </c>
      <c r="E1230" s="3" t="s">
        <v>2229</v>
      </c>
      <c r="F1230" s="3" t="s">
        <v>2325</v>
      </c>
      <c r="G1230" s="49"/>
      <c r="H1230" s="46">
        <v>45199</v>
      </c>
      <c r="I1230" s="13">
        <v>2023</v>
      </c>
      <c r="J1230" s="47">
        <v>7250000</v>
      </c>
      <c r="K1230" s="16" t="s">
        <v>62</v>
      </c>
      <c r="L1230" s="3" t="s">
        <v>1105</v>
      </c>
      <c r="M1230" s="3" t="s">
        <v>586</v>
      </c>
      <c r="N1230" s="3" t="s">
        <v>406</v>
      </c>
    </row>
    <row r="1231" spans="1:14" x14ac:dyDescent="0.3">
      <c r="A1231" s="36" t="s">
        <v>37</v>
      </c>
      <c r="B1231" s="13">
        <v>115</v>
      </c>
      <c r="C1231" s="48" t="str">
        <f t="shared" si="45"/>
        <v>P.L. 115-334</v>
      </c>
      <c r="D1231" s="3" t="s">
        <v>2179</v>
      </c>
      <c r="E1231" s="3" t="s">
        <v>2229</v>
      </c>
      <c r="F1231" s="3" t="s">
        <v>2326</v>
      </c>
      <c r="G1231" s="49"/>
      <c r="H1231" s="46">
        <v>45199</v>
      </c>
      <c r="I1231" s="13">
        <v>2023</v>
      </c>
      <c r="J1231" s="47">
        <v>2750000</v>
      </c>
      <c r="K1231" s="16" t="s">
        <v>62</v>
      </c>
      <c r="L1231" s="3" t="s">
        <v>1105</v>
      </c>
      <c r="M1231" s="3" t="s">
        <v>586</v>
      </c>
      <c r="N1231" s="3" t="s">
        <v>406</v>
      </c>
    </row>
    <row r="1232" spans="1:14" x14ac:dyDescent="0.3">
      <c r="A1232" s="36" t="s">
        <v>37</v>
      </c>
      <c r="B1232" s="13">
        <v>115</v>
      </c>
      <c r="C1232" s="48" t="str">
        <f t="shared" si="45"/>
        <v>P.L. 115-334</v>
      </c>
      <c r="D1232" s="3" t="s">
        <v>2179</v>
      </c>
      <c r="E1232" s="3" t="s">
        <v>2327</v>
      </c>
      <c r="F1232" s="3" t="s">
        <v>2328</v>
      </c>
      <c r="G1232" s="49"/>
      <c r="H1232" s="46">
        <v>45199</v>
      </c>
      <c r="I1232" s="13">
        <v>2023</v>
      </c>
      <c r="J1232" s="47">
        <v>5000000</v>
      </c>
      <c r="K1232" s="16" t="s">
        <v>62</v>
      </c>
      <c r="L1232" s="3" t="s">
        <v>1105</v>
      </c>
      <c r="M1232" s="3" t="s">
        <v>586</v>
      </c>
      <c r="N1232" s="3" t="s">
        <v>406</v>
      </c>
    </row>
    <row r="1233" spans="1:14" x14ac:dyDescent="0.3">
      <c r="A1233" s="36" t="s">
        <v>37</v>
      </c>
      <c r="B1233" s="13">
        <v>115</v>
      </c>
      <c r="C1233" s="48" t="str">
        <f t="shared" si="45"/>
        <v>P.L. 115-334</v>
      </c>
      <c r="D1233" s="3" t="s">
        <v>2179</v>
      </c>
      <c r="E1233" s="3" t="s">
        <v>320</v>
      </c>
      <c r="F1233" s="3" t="s">
        <v>2329</v>
      </c>
      <c r="G1233" s="49"/>
      <c r="H1233" s="46">
        <v>45199</v>
      </c>
      <c r="I1233" s="13">
        <v>2023</v>
      </c>
      <c r="J1233" s="16" t="s">
        <v>12</v>
      </c>
      <c r="K1233" s="16" t="s">
        <v>62</v>
      </c>
      <c r="L1233" s="3" t="s">
        <v>1105</v>
      </c>
      <c r="M1233" s="3" t="s">
        <v>586</v>
      </c>
      <c r="N1233" s="3" t="s">
        <v>406</v>
      </c>
    </row>
    <row r="1234" spans="1:14" x14ac:dyDescent="0.3">
      <c r="A1234" s="36" t="s">
        <v>37</v>
      </c>
      <c r="B1234" s="13">
        <v>115</v>
      </c>
      <c r="C1234" s="48" t="str">
        <f t="shared" si="45"/>
        <v>P.L. 115-334</v>
      </c>
      <c r="D1234" s="3" t="s">
        <v>2179</v>
      </c>
      <c r="E1234" s="3" t="s">
        <v>2188</v>
      </c>
      <c r="F1234" s="3" t="s">
        <v>2330</v>
      </c>
      <c r="G1234" s="49"/>
      <c r="H1234" s="46">
        <v>45199</v>
      </c>
      <c r="I1234" s="13">
        <v>2023</v>
      </c>
      <c r="J1234" s="47">
        <v>60000000</v>
      </c>
      <c r="K1234" s="16" t="s">
        <v>62</v>
      </c>
      <c r="L1234" s="3" t="s">
        <v>1105</v>
      </c>
      <c r="M1234" s="3" t="s">
        <v>586</v>
      </c>
      <c r="N1234" s="3" t="s">
        <v>406</v>
      </c>
    </row>
    <row r="1235" spans="1:14" x14ac:dyDescent="0.3">
      <c r="A1235" s="36" t="s">
        <v>37</v>
      </c>
      <c r="B1235" s="13">
        <v>115</v>
      </c>
      <c r="C1235" s="48" t="str">
        <f t="shared" si="45"/>
        <v>P.L. 115-334</v>
      </c>
      <c r="D1235" s="3" t="s">
        <v>2179</v>
      </c>
      <c r="E1235" s="3" t="s">
        <v>2331</v>
      </c>
      <c r="F1235" s="3" t="s">
        <v>2332</v>
      </c>
      <c r="G1235" s="49"/>
      <c r="H1235" s="46">
        <v>45199</v>
      </c>
      <c r="I1235" s="13">
        <v>2023</v>
      </c>
      <c r="J1235" s="47">
        <v>2000000</v>
      </c>
      <c r="K1235" s="16" t="s">
        <v>62</v>
      </c>
      <c r="L1235" s="3" t="s">
        <v>1105</v>
      </c>
      <c r="M1235" s="3" t="s">
        <v>586</v>
      </c>
      <c r="N1235" s="3" t="s">
        <v>406</v>
      </c>
    </row>
    <row r="1236" spans="1:14" x14ac:dyDescent="0.3">
      <c r="A1236" s="36" t="s">
        <v>37</v>
      </c>
      <c r="B1236" s="13">
        <v>115</v>
      </c>
      <c r="C1236" s="48" t="str">
        <f t="shared" si="45"/>
        <v>P.L. 115-334</v>
      </c>
      <c r="D1236" s="3" t="s">
        <v>2179</v>
      </c>
      <c r="E1236" s="3" t="s">
        <v>2333</v>
      </c>
      <c r="F1236" s="3" t="s">
        <v>2334</v>
      </c>
      <c r="G1236" s="49"/>
      <c r="H1236" s="46">
        <v>45199</v>
      </c>
      <c r="I1236" s="13">
        <v>2023</v>
      </c>
      <c r="J1236" s="47">
        <v>10000000</v>
      </c>
      <c r="K1236" s="16" t="s">
        <v>62</v>
      </c>
      <c r="L1236" s="3" t="s">
        <v>1105</v>
      </c>
      <c r="M1236" s="3" t="s">
        <v>586</v>
      </c>
      <c r="N1236" s="3" t="s">
        <v>406</v>
      </c>
    </row>
    <row r="1237" spans="1:14" x14ac:dyDescent="0.3">
      <c r="A1237" s="36" t="s">
        <v>37</v>
      </c>
      <c r="B1237" s="13">
        <v>115</v>
      </c>
      <c r="C1237" s="48" t="str">
        <f t="shared" si="45"/>
        <v>P.L. 115-334</v>
      </c>
      <c r="D1237" s="3" t="s">
        <v>2179</v>
      </c>
      <c r="E1237" s="3" t="s">
        <v>2335</v>
      </c>
      <c r="F1237" s="3" t="s">
        <v>2336</v>
      </c>
      <c r="G1237" s="49"/>
      <c r="H1237" s="46">
        <v>45199</v>
      </c>
      <c r="I1237" s="13">
        <v>2023</v>
      </c>
      <c r="J1237" s="47">
        <v>5000000</v>
      </c>
      <c r="K1237" s="16" t="s">
        <v>62</v>
      </c>
      <c r="L1237" s="3" t="s">
        <v>1105</v>
      </c>
      <c r="M1237" s="3" t="s">
        <v>586</v>
      </c>
      <c r="N1237" s="3" t="s">
        <v>406</v>
      </c>
    </row>
    <row r="1238" spans="1:14" x14ac:dyDescent="0.3">
      <c r="A1238" s="36" t="s">
        <v>37</v>
      </c>
      <c r="B1238" s="13">
        <v>115</v>
      </c>
      <c r="C1238" s="48" t="str">
        <f t="shared" si="45"/>
        <v>P.L. 115-334</v>
      </c>
      <c r="D1238" s="3" t="s">
        <v>2179</v>
      </c>
      <c r="E1238" s="3" t="s">
        <v>2337</v>
      </c>
      <c r="F1238" s="3" t="s">
        <v>2338</v>
      </c>
      <c r="G1238" s="49"/>
      <c r="H1238" s="46">
        <v>45199</v>
      </c>
      <c r="I1238" s="13">
        <v>2023</v>
      </c>
      <c r="J1238" s="47">
        <v>1000000</v>
      </c>
      <c r="K1238" s="16" t="s">
        <v>62</v>
      </c>
      <c r="L1238" s="3" t="s">
        <v>1105</v>
      </c>
      <c r="M1238" s="3" t="s">
        <v>586</v>
      </c>
      <c r="N1238" s="3" t="s">
        <v>406</v>
      </c>
    </row>
    <row r="1239" spans="1:14" x14ac:dyDescent="0.3">
      <c r="A1239" s="36" t="s">
        <v>37</v>
      </c>
      <c r="B1239" s="13">
        <v>115</v>
      </c>
      <c r="C1239" s="48" t="str">
        <f t="shared" si="45"/>
        <v>P.L. 115-334</v>
      </c>
      <c r="D1239" s="3" t="s">
        <v>2179</v>
      </c>
      <c r="E1239" s="3" t="s">
        <v>2339</v>
      </c>
      <c r="F1239" s="3" t="s">
        <v>2340</v>
      </c>
      <c r="G1239" s="49"/>
      <c r="H1239" s="46">
        <v>44469</v>
      </c>
      <c r="I1239" s="13">
        <v>2021</v>
      </c>
      <c r="J1239" s="47">
        <v>20000000</v>
      </c>
      <c r="K1239" s="16" t="s">
        <v>62</v>
      </c>
      <c r="L1239" s="3" t="s">
        <v>1105</v>
      </c>
      <c r="M1239" s="3" t="s">
        <v>586</v>
      </c>
      <c r="N1239" s="3" t="s">
        <v>406</v>
      </c>
    </row>
    <row r="1240" spans="1:14" x14ac:dyDescent="0.3">
      <c r="A1240" s="36" t="s">
        <v>37</v>
      </c>
      <c r="B1240" s="13">
        <v>115</v>
      </c>
      <c r="C1240" s="48" t="str">
        <f t="shared" si="45"/>
        <v>P.L. 115-334</v>
      </c>
      <c r="D1240" s="3" t="s">
        <v>2179</v>
      </c>
      <c r="E1240" s="3" t="s">
        <v>354</v>
      </c>
      <c r="F1240" s="3" t="s">
        <v>2341</v>
      </c>
      <c r="G1240" s="49"/>
      <c r="H1240" s="46">
        <v>45199</v>
      </c>
      <c r="I1240" s="13">
        <v>2023</v>
      </c>
      <c r="J1240" s="47">
        <v>10000000</v>
      </c>
      <c r="K1240" s="16" t="s">
        <v>62</v>
      </c>
      <c r="L1240" s="3" t="s">
        <v>1105</v>
      </c>
      <c r="M1240" s="3" t="s">
        <v>586</v>
      </c>
      <c r="N1240" s="3" t="s">
        <v>406</v>
      </c>
    </row>
    <row r="1241" spans="1:14" x14ac:dyDescent="0.3">
      <c r="A1241" s="36" t="s">
        <v>37</v>
      </c>
      <c r="B1241" s="13">
        <v>115</v>
      </c>
      <c r="C1241" s="48" t="str">
        <f t="shared" si="45"/>
        <v>P.L. 115-334</v>
      </c>
      <c r="D1241" s="3" t="s">
        <v>2179</v>
      </c>
      <c r="E1241" s="3" t="s">
        <v>2342</v>
      </c>
      <c r="F1241" s="3" t="s">
        <v>2343</v>
      </c>
      <c r="G1241" s="49"/>
      <c r="H1241" s="46">
        <v>45199</v>
      </c>
      <c r="I1241" s="13">
        <v>2023</v>
      </c>
      <c r="J1241" s="47">
        <v>5000000</v>
      </c>
      <c r="K1241" s="16" t="s">
        <v>62</v>
      </c>
      <c r="L1241" s="3" t="s">
        <v>1105</v>
      </c>
      <c r="M1241" s="3" t="s">
        <v>586</v>
      </c>
      <c r="N1241" s="3" t="s">
        <v>406</v>
      </c>
    </row>
    <row r="1242" spans="1:14" x14ac:dyDescent="0.3">
      <c r="A1242" s="36" t="s">
        <v>37</v>
      </c>
      <c r="B1242" s="13">
        <v>115</v>
      </c>
      <c r="C1242" s="48" t="str">
        <f t="shared" si="45"/>
        <v>P.L. 115-334</v>
      </c>
      <c r="D1242" s="3" t="s">
        <v>2179</v>
      </c>
      <c r="E1242" s="3" t="s">
        <v>2204</v>
      </c>
      <c r="F1242" s="3" t="s">
        <v>2205</v>
      </c>
      <c r="G1242" s="49"/>
      <c r="H1242" s="46">
        <v>45199</v>
      </c>
      <c r="I1242" s="13">
        <v>2023</v>
      </c>
      <c r="J1242" s="47">
        <v>82000000</v>
      </c>
      <c r="K1242" s="16" t="s">
        <v>62</v>
      </c>
      <c r="L1242" s="3" t="s">
        <v>1105</v>
      </c>
      <c r="M1242" s="3" t="s">
        <v>586</v>
      </c>
      <c r="N1242" s="3" t="s">
        <v>406</v>
      </c>
    </row>
    <row r="1243" spans="1:14" x14ac:dyDescent="0.3">
      <c r="A1243" s="36" t="s">
        <v>37</v>
      </c>
      <c r="B1243" s="13">
        <v>115</v>
      </c>
      <c r="C1243" s="48" t="str">
        <f t="shared" si="45"/>
        <v>P.L. 115-334</v>
      </c>
      <c r="D1243" s="3" t="s">
        <v>2179</v>
      </c>
      <c r="E1243" s="3" t="s">
        <v>2344</v>
      </c>
      <c r="F1243" s="3" t="s">
        <v>2345</v>
      </c>
      <c r="G1243" s="49"/>
      <c r="H1243" s="46">
        <v>45199</v>
      </c>
      <c r="I1243" s="13">
        <v>2023</v>
      </c>
      <c r="J1243" s="47">
        <v>10000000</v>
      </c>
      <c r="K1243" s="16" t="s">
        <v>62</v>
      </c>
      <c r="L1243" s="3" t="s">
        <v>1105</v>
      </c>
      <c r="M1243" s="3" t="s">
        <v>586</v>
      </c>
      <c r="N1243" s="3" t="s">
        <v>406</v>
      </c>
    </row>
    <row r="1244" spans="1:14" x14ac:dyDescent="0.3">
      <c r="A1244" s="36" t="s">
        <v>37</v>
      </c>
      <c r="B1244" s="13">
        <v>115</v>
      </c>
      <c r="C1244" s="48" t="str">
        <f t="shared" ref="C1244:C1278" si="46">HYPERLINK("https://uscode.house.gov/statutes/pl/115/334.pdf", "P.L. 115-334")</f>
        <v>P.L. 115-334</v>
      </c>
      <c r="D1244" s="3" t="s">
        <v>2179</v>
      </c>
      <c r="E1244" s="3" t="s">
        <v>2346</v>
      </c>
      <c r="F1244" s="3" t="s">
        <v>2347</v>
      </c>
      <c r="G1244" s="49"/>
      <c r="H1244" s="46">
        <v>45199</v>
      </c>
      <c r="I1244" s="13">
        <v>2023</v>
      </c>
      <c r="J1244" s="47">
        <v>50000000</v>
      </c>
      <c r="K1244" s="16" t="s">
        <v>62</v>
      </c>
      <c r="L1244" s="3" t="s">
        <v>1105</v>
      </c>
      <c r="M1244" s="3" t="s">
        <v>586</v>
      </c>
      <c r="N1244" s="3" t="s">
        <v>406</v>
      </c>
    </row>
    <row r="1245" spans="1:14" x14ac:dyDescent="0.3">
      <c r="A1245" s="36" t="s">
        <v>37</v>
      </c>
      <c r="B1245" s="13">
        <v>115</v>
      </c>
      <c r="C1245" s="48" t="str">
        <f t="shared" si="46"/>
        <v>P.L. 115-334</v>
      </c>
      <c r="D1245" s="3" t="s">
        <v>2179</v>
      </c>
      <c r="E1245" s="3" t="s">
        <v>2348</v>
      </c>
      <c r="F1245" s="3" t="s">
        <v>2349</v>
      </c>
      <c r="G1245" s="49"/>
      <c r="H1245" s="46">
        <v>45199</v>
      </c>
      <c r="I1245" s="13">
        <v>2023</v>
      </c>
      <c r="J1245" s="47">
        <v>5000000</v>
      </c>
      <c r="K1245" s="16" t="s">
        <v>62</v>
      </c>
      <c r="L1245" s="3" t="s">
        <v>1105</v>
      </c>
      <c r="M1245" s="3" t="s">
        <v>586</v>
      </c>
      <c r="N1245" s="3" t="s">
        <v>406</v>
      </c>
    </row>
    <row r="1246" spans="1:14" x14ac:dyDescent="0.3">
      <c r="A1246" s="36" t="s">
        <v>37</v>
      </c>
      <c r="B1246" s="13">
        <v>115</v>
      </c>
      <c r="C1246" s="48" t="str">
        <f t="shared" si="46"/>
        <v>P.L. 115-334</v>
      </c>
      <c r="D1246" s="3" t="s">
        <v>2179</v>
      </c>
      <c r="E1246" s="3" t="s">
        <v>2350</v>
      </c>
      <c r="F1246" s="3" t="s">
        <v>2351</v>
      </c>
      <c r="G1246" s="48" t="str">
        <f>HYPERLINK("https://uscode.house.gov/view.xhtml?req=granuleid:USC-prelim-title40-section15751&amp;num=0&amp;edition=prelim", "40 U.S.C. 15751(a)")</f>
        <v>40 U.S.C. 15751(a)</v>
      </c>
      <c r="H1246" s="46">
        <v>45199</v>
      </c>
      <c r="I1246" s="13">
        <v>2023</v>
      </c>
      <c r="J1246" s="47">
        <v>33000000</v>
      </c>
      <c r="K1246" s="16" t="s">
        <v>62</v>
      </c>
      <c r="L1246" s="3" t="s">
        <v>109</v>
      </c>
      <c r="M1246" s="3" t="s">
        <v>67</v>
      </c>
      <c r="N1246" s="3" t="s">
        <v>406</v>
      </c>
    </row>
    <row r="1247" spans="1:14" x14ac:dyDescent="0.3">
      <c r="A1247" s="36" t="s">
        <v>37</v>
      </c>
      <c r="B1247" s="13">
        <v>115</v>
      </c>
      <c r="C1247" s="48" t="str">
        <f t="shared" si="46"/>
        <v>P.L. 115-334</v>
      </c>
      <c r="D1247" s="3" t="s">
        <v>2179</v>
      </c>
      <c r="E1247" s="3" t="s">
        <v>2352</v>
      </c>
      <c r="F1247" s="3" t="s">
        <v>2353</v>
      </c>
      <c r="G1247" s="49"/>
      <c r="H1247" s="46">
        <v>45199</v>
      </c>
      <c r="I1247" s="13">
        <v>2023</v>
      </c>
      <c r="J1247" s="47">
        <v>5000000</v>
      </c>
      <c r="K1247" s="16" t="s">
        <v>62</v>
      </c>
      <c r="L1247" s="3" t="s">
        <v>1105</v>
      </c>
      <c r="M1247" s="3" t="s">
        <v>586</v>
      </c>
      <c r="N1247" s="3" t="s">
        <v>406</v>
      </c>
    </row>
    <row r="1248" spans="1:14" x14ac:dyDescent="0.3">
      <c r="A1248" s="36" t="s">
        <v>37</v>
      </c>
      <c r="B1248" s="13">
        <v>115</v>
      </c>
      <c r="C1248" s="48" t="str">
        <f t="shared" si="46"/>
        <v>P.L. 115-334</v>
      </c>
      <c r="D1248" s="3" t="s">
        <v>2179</v>
      </c>
      <c r="E1248" s="3" t="s">
        <v>2354</v>
      </c>
      <c r="F1248" s="3" t="s">
        <v>2355</v>
      </c>
      <c r="G1248" s="49"/>
      <c r="H1248" s="46">
        <v>45199</v>
      </c>
      <c r="I1248" s="13">
        <v>2023</v>
      </c>
      <c r="J1248" s="47">
        <v>50000000</v>
      </c>
      <c r="K1248" s="16" t="s">
        <v>62</v>
      </c>
      <c r="L1248" s="3" t="s">
        <v>1105</v>
      </c>
      <c r="M1248" s="3" t="s">
        <v>586</v>
      </c>
      <c r="N1248" s="3" t="s">
        <v>406</v>
      </c>
    </row>
    <row r="1249" spans="1:14" x14ac:dyDescent="0.3">
      <c r="A1249" s="36" t="s">
        <v>37</v>
      </c>
      <c r="B1249" s="13">
        <v>115</v>
      </c>
      <c r="C1249" s="48" t="str">
        <f t="shared" si="46"/>
        <v>P.L. 115-334</v>
      </c>
      <c r="D1249" s="3" t="s">
        <v>2179</v>
      </c>
      <c r="E1249" s="3" t="s">
        <v>2356</v>
      </c>
      <c r="F1249" s="3" t="s">
        <v>2357</v>
      </c>
      <c r="G1249" s="49"/>
      <c r="H1249" s="46">
        <v>45199</v>
      </c>
      <c r="I1249" s="13">
        <v>2023</v>
      </c>
      <c r="J1249" s="47">
        <v>10000000</v>
      </c>
      <c r="K1249" s="16" t="s">
        <v>62</v>
      </c>
      <c r="L1249" s="3" t="s">
        <v>1105</v>
      </c>
      <c r="M1249" s="3" t="s">
        <v>586</v>
      </c>
      <c r="N1249" s="3" t="s">
        <v>406</v>
      </c>
    </row>
    <row r="1250" spans="1:14" x14ac:dyDescent="0.3">
      <c r="A1250" s="36" t="s">
        <v>37</v>
      </c>
      <c r="B1250" s="13">
        <v>115</v>
      </c>
      <c r="C1250" s="48" t="str">
        <f t="shared" si="46"/>
        <v>P.L. 115-334</v>
      </c>
      <c r="D1250" s="3" t="s">
        <v>2179</v>
      </c>
      <c r="E1250" s="3" t="s">
        <v>2358</v>
      </c>
      <c r="F1250" s="3" t="s">
        <v>2359</v>
      </c>
      <c r="G1250" s="49"/>
      <c r="H1250" s="46">
        <v>45199</v>
      </c>
      <c r="I1250" s="13">
        <v>2023</v>
      </c>
      <c r="J1250" s="47">
        <v>25000000</v>
      </c>
      <c r="K1250" s="16" t="s">
        <v>62</v>
      </c>
      <c r="L1250" s="3" t="s">
        <v>1105</v>
      </c>
      <c r="M1250" s="3" t="s">
        <v>586</v>
      </c>
      <c r="N1250" s="3" t="s">
        <v>406</v>
      </c>
    </row>
    <row r="1251" spans="1:14" x14ac:dyDescent="0.3">
      <c r="A1251" s="36" t="s">
        <v>37</v>
      </c>
      <c r="B1251" s="13">
        <v>115</v>
      </c>
      <c r="C1251" s="48" t="str">
        <f t="shared" si="46"/>
        <v>P.L. 115-334</v>
      </c>
      <c r="D1251" s="3" t="s">
        <v>2179</v>
      </c>
      <c r="E1251" s="3" t="s">
        <v>2360</v>
      </c>
      <c r="F1251" s="3" t="s">
        <v>2361</v>
      </c>
      <c r="G1251" s="49"/>
      <c r="H1251" s="46">
        <v>45199</v>
      </c>
      <c r="I1251" s="13">
        <v>2023</v>
      </c>
      <c r="J1251" s="47">
        <v>10000000</v>
      </c>
      <c r="K1251" s="16" t="s">
        <v>62</v>
      </c>
      <c r="L1251" s="3" t="s">
        <v>1105</v>
      </c>
      <c r="M1251" s="3" t="s">
        <v>586</v>
      </c>
      <c r="N1251" s="3" t="s">
        <v>406</v>
      </c>
    </row>
    <row r="1252" spans="1:14" x14ac:dyDescent="0.3">
      <c r="A1252" s="36" t="s">
        <v>37</v>
      </c>
      <c r="B1252" s="13">
        <v>115</v>
      </c>
      <c r="C1252" s="48" t="str">
        <f t="shared" si="46"/>
        <v>P.L. 115-334</v>
      </c>
      <c r="D1252" s="3" t="s">
        <v>2179</v>
      </c>
      <c r="E1252" s="3" t="s">
        <v>2362</v>
      </c>
      <c r="F1252" s="3" t="s">
        <v>2363</v>
      </c>
      <c r="G1252" s="49"/>
      <c r="H1252" s="46">
        <v>45199</v>
      </c>
      <c r="I1252" s="13">
        <v>2023</v>
      </c>
      <c r="J1252" s="47">
        <v>10000000</v>
      </c>
      <c r="K1252" s="16" t="s">
        <v>62</v>
      </c>
      <c r="L1252" s="3" t="s">
        <v>1105</v>
      </c>
      <c r="M1252" s="3" t="s">
        <v>586</v>
      </c>
      <c r="N1252" s="3" t="s">
        <v>406</v>
      </c>
    </row>
    <row r="1253" spans="1:14" x14ac:dyDescent="0.3">
      <c r="A1253" s="36" t="s">
        <v>37</v>
      </c>
      <c r="B1253" s="13">
        <v>115</v>
      </c>
      <c r="C1253" s="48" t="str">
        <f t="shared" si="46"/>
        <v>P.L. 115-334</v>
      </c>
      <c r="D1253" s="3" t="s">
        <v>2179</v>
      </c>
      <c r="E1253" s="3" t="s">
        <v>2364</v>
      </c>
      <c r="F1253" s="3" t="s">
        <v>2365</v>
      </c>
      <c r="G1253" s="49"/>
      <c r="H1253" s="46">
        <v>45199</v>
      </c>
      <c r="I1253" s="13">
        <v>2023</v>
      </c>
      <c r="J1253" s="47">
        <v>5000000</v>
      </c>
      <c r="K1253" s="16" t="s">
        <v>62</v>
      </c>
      <c r="L1253" s="3" t="s">
        <v>1105</v>
      </c>
      <c r="M1253" s="3" t="s">
        <v>586</v>
      </c>
      <c r="N1253" s="3" t="s">
        <v>406</v>
      </c>
    </row>
    <row r="1254" spans="1:14" x14ac:dyDescent="0.3">
      <c r="A1254" s="36" t="s">
        <v>37</v>
      </c>
      <c r="B1254" s="13">
        <v>115</v>
      </c>
      <c r="C1254" s="48" t="str">
        <f t="shared" si="46"/>
        <v>P.L. 115-334</v>
      </c>
      <c r="D1254" s="3" t="s">
        <v>2179</v>
      </c>
      <c r="E1254" s="3" t="s">
        <v>2366</v>
      </c>
      <c r="F1254" s="3" t="s">
        <v>2367</v>
      </c>
      <c r="G1254" s="49"/>
      <c r="H1254" s="46">
        <v>45199</v>
      </c>
      <c r="I1254" s="13">
        <v>2023</v>
      </c>
      <c r="J1254" s="47">
        <v>10000000</v>
      </c>
      <c r="K1254" s="16" t="s">
        <v>62</v>
      </c>
      <c r="L1254" s="3" t="s">
        <v>1105</v>
      </c>
      <c r="M1254" s="3" t="s">
        <v>586</v>
      </c>
      <c r="N1254" s="3" t="s">
        <v>406</v>
      </c>
    </row>
    <row r="1255" spans="1:14" x14ac:dyDescent="0.3">
      <c r="A1255" s="36" t="s">
        <v>37</v>
      </c>
      <c r="B1255" s="13">
        <v>115</v>
      </c>
      <c r="C1255" s="48" t="str">
        <f t="shared" si="46"/>
        <v>P.L. 115-334</v>
      </c>
      <c r="D1255" s="3" t="s">
        <v>2179</v>
      </c>
      <c r="E1255" s="3" t="s">
        <v>2368</v>
      </c>
      <c r="F1255" s="3" t="s">
        <v>2369</v>
      </c>
      <c r="G1255" s="49"/>
      <c r="H1255" s="46">
        <v>44469</v>
      </c>
      <c r="I1255" s="13">
        <v>2021</v>
      </c>
      <c r="J1255" s="47">
        <v>14000000</v>
      </c>
      <c r="K1255" s="47">
        <v>8500000</v>
      </c>
      <c r="L1255" s="3" t="s">
        <v>1105</v>
      </c>
      <c r="M1255" s="3" t="s">
        <v>586</v>
      </c>
      <c r="N1255" s="3" t="s">
        <v>406</v>
      </c>
    </row>
    <row r="1256" spans="1:14" x14ac:dyDescent="0.3">
      <c r="A1256" s="36" t="s">
        <v>37</v>
      </c>
      <c r="B1256" s="13">
        <v>115</v>
      </c>
      <c r="C1256" s="48" t="str">
        <f t="shared" si="46"/>
        <v>P.L. 115-334</v>
      </c>
      <c r="D1256" s="3" t="s">
        <v>2179</v>
      </c>
      <c r="E1256" s="3" t="s">
        <v>2370</v>
      </c>
      <c r="F1256" s="3" t="s">
        <v>2371</v>
      </c>
      <c r="G1256" s="49"/>
      <c r="H1256" s="46">
        <v>45199</v>
      </c>
      <c r="I1256" s="13">
        <v>2023</v>
      </c>
      <c r="J1256" s="47">
        <v>10000000</v>
      </c>
      <c r="K1256" s="16" t="s">
        <v>62</v>
      </c>
      <c r="L1256" s="3" t="s">
        <v>1105</v>
      </c>
      <c r="M1256" s="3" t="s">
        <v>586</v>
      </c>
      <c r="N1256" s="3" t="s">
        <v>406</v>
      </c>
    </row>
    <row r="1257" spans="1:14" x14ac:dyDescent="0.3">
      <c r="A1257" s="36" t="s">
        <v>37</v>
      </c>
      <c r="B1257" s="13">
        <v>115</v>
      </c>
      <c r="C1257" s="48" t="str">
        <f t="shared" si="46"/>
        <v>P.L. 115-334</v>
      </c>
      <c r="D1257" s="3" t="s">
        <v>2179</v>
      </c>
      <c r="E1257" s="3" t="s">
        <v>2372</v>
      </c>
      <c r="F1257" s="3" t="s">
        <v>2373</v>
      </c>
      <c r="G1257" s="49"/>
      <c r="H1257" s="46">
        <v>45199</v>
      </c>
      <c r="I1257" s="13">
        <v>2023</v>
      </c>
      <c r="J1257" s="47">
        <v>10000000</v>
      </c>
      <c r="K1257" s="16" t="s">
        <v>62</v>
      </c>
      <c r="L1257" s="3" t="s">
        <v>1105</v>
      </c>
      <c r="M1257" s="3" t="s">
        <v>586</v>
      </c>
      <c r="N1257" s="3" t="s">
        <v>406</v>
      </c>
    </row>
    <row r="1258" spans="1:14" x14ac:dyDescent="0.3">
      <c r="A1258" s="36" t="s">
        <v>37</v>
      </c>
      <c r="B1258" s="13">
        <v>115</v>
      </c>
      <c r="C1258" s="48" t="str">
        <f t="shared" si="46"/>
        <v>P.L. 115-334</v>
      </c>
      <c r="D1258" s="3" t="s">
        <v>2179</v>
      </c>
      <c r="E1258" s="3" t="s">
        <v>2374</v>
      </c>
      <c r="F1258" s="3" t="s">
        <v>2375</v>
      </c>
      <c r="G1258" s="49"/>
      <c r="H1258" s="46">
        <v>45199</v>
      </c>
      <c r="I1258" s="13">
        <v>2023</v>
      </c>
      <c r="J1258" s="47">
        <v>5000000</v>
      </c>
      <c r="K1258" s="16" t="s">
        <v>62</v>
      </c>
      <c r="L1258" s="3" t="s">
        <v>1105</v>
      </c>
      <c r="M1258" s="3" t="s">
        <v>586</v>
      </c>
      <c r="N1258" s="3" t="s">
        <v>406</v>
      </c>
    </row>
    <row r="1259" spans="1:14" x14ac:dyDescent="0.3">
      <c r="A1259" s="36" t="s">
        <v>37</v>
      </c>
      <c r="B1259" s="13">
        <v>115</v>
      </c>
      <c r="C1259" s="48" t="str">
        <f t="shared" si="46"/>
        <v>P.L. 115-334</v>
      </c>
      <c r="D1259" s="3" t="s">
        <v>2179</v>
      </c>
      <c r="E1259" s="3" t="s">
        <v>2376</v>
      </c>
      <c r="F1259" s="3" t="s">
        <v>2377</v>
      </c>
      <c r="G1259" s="49"/>
      <c r="H1259" s="46">
        <v>45199</v>
      </c>
      <c r="I1259" s="13">
        <v>2023</v>
      </c>
      <c r="J1259" s="47">
        <v>20000000</v>
      </c>
      <c r="K1259" s="16" t="s">
        <v>62</v>
      </c>
      <c r="L1259" s="3" t="s">
        <v>1105</v>
      </c>
      <c r="M1259" s="3" t="s">
        <v>586</v>
      </c>
      <c r="N1259" s="3" t="s">
        <v>406</v>
      </c>
    </row>
    <row r="1260" spans="1:14" x14ac:dyDescent="0.3">
      <c r="A1260" s="36" t="s">
        <v>37</v>
      </c>
      <c r="B1260" s="13">
        <v>115</v>
      </c>
      <c r="C1260" s="48" t="str">
        <f t="shared" si="46"/>
        <v>P.L. 115-334</v>
      </c>
      <c r="D1260" s="3" t="s">
        <v>2179</v>
      </c>
      <c r="E1260" s="3" t="s">
        <v>2378</v>
      </c>
      <c r="F1260" s="3" t="s">
        <v>2379</v>
      </c>
      <c r="G1260" s="49"/>
      <c r="H1260" s="46">
        <v>45199</v>
      </c>
      <c r="I1260" s="13">
        <v>2023</v>
      </c>
      <c r="J1260" s="47">
        <v>20000000</v>
      </c>
      <c r="K1260" s="16" t="s">
        <v>62</v>
      </c>
      <c r="L1260" s="3" t="s">
        <v>1105</v>
      </c>
      <c r="M1260" s="3" t="s">
        <v>586</v>
      </c>
      <c r="N1260" s="3" t="s">
        <v>406</v>
      </c>
    </row>
    <row r="1261" spans="1:14" x14ac:dyDescent="0.3">
      <c r="A1261" s="36" t="s">
        <v>37</v>
      </c>
      <c r="B1261" s="13">
        <v>115</v>
      </c>
      <c r="C1261" s="48" t="str">
        <f t="shared" si="46"/>
        <v>P.L. 115-334</v>
      </c>
      <c r="D1261" s="3" t="s">
        <v>2179</v>
      </c>
      <c r="E1261" s="3" t="s">
        <v>2380</v>
      </c>
      <c r="F1261" s="3" t="s">
        <v>2381</v>
      </c>
      <c r="G1261" s="49"/>
      <c r="H1261" s="46">
        <v>45199</v>
      </c>
      <c r="I1261" s="13">
        <v>2023</v>
      </c>
      <c r="J1261" s="47">
        <v>660000000</v>
      </c>
      <c r="K1261" s="16" t="s">
        <v>62</v>
      </c>
      <c r="L1261" s="3" t="s">
        <v>1105</v>
      </c>
      <c r="M1261" s="3" t="s">
        <v>586</v>
      </c>
      <c r="N1261" s="3" t="s">
        <v>406</v>
      </c>
    </row>
    <row r="1262" spans="1:14" x14ac:dyDescent="0.3">
      <c r="A1262" s="36" t="s">
        <v>37</v>
      </c>
      <c r="B1262" s="13">
        <v>115</v>
      </c>
      <c r="C1262" s="48" t="str">
        <f t="shared" si="46"/>
        <v>P.L. 115-334</v>
      </c>
      <c r="D1262" s="3" t="s">
        <v>2179</v>
      </c>
      <c r="E1262" s="3" t="s">
        <v>2382</v>
      </c>
      <c r="F1262" s="3" t="s">
        <v>2383</v>
      </c>
      <c r="G1262" s="49"/>
      <c r="H1262" s="46">
        <v>45199</v>
      </c>
      <c r="I1262" s="13">
        <v>2023</v>
      </c>
      <c r="J1262" s="47">
        <v>10000000</v>
      </c>
      <c r="K1262" s="16" t="s">
        <v>62</v>
      </c>
      <c r="L1262" s="3" t="s">
        <v>1105</v>
      </c>
      <c r="M1262" s="3" t="s">
        <v>586</v>
      </c>
      <c r="N1262" s="3" t="s">
        <v>406</v>
      </c>
    </row>
    <row r="1263" spans="1:14" x14ac:dyDescent="0.3">
      <c r="A1263" s="36" t="s">
        <v>37</v>
      </c>
      <c r="B1263" s="13">
        <v>115</v>
      </c>
      <c r="C1263" s="48" t="str">
        <f t="shared" si="46"/>
        <v>P.L. 115-334</v>
      </c>
      <c r="D1263" s="3" t="s">
        <v>2179</v>
      </c>
      <c r="E1263" s="3" t="s">
        <v>2384</v>
      </c>
      <c r="F1263" s="3" t="s">
        <v>2385</v>
      </c>
      <c r="G1263" s="49"/>
      <c r="H1263" s="46">
        <v>45199</v>
      </c>
      <c r="I1263" s="13">
        <v>2023</v>
      </c>
      <c r="J1263" s="47">
        <v>25000000</v>
      </c>
      <c r="K1263" s="16" t="s">
        <v>62</v>
      </c>
      <c r="L1263" s="3" t="s">
        <v>1105</v>
      </c>
      <c r="M1263" s="3" t="s">
        <v>586</v>
      </c>
      <c r="N1263" s="3" t="s">
        <v>406</v>
      </c>
    </row>
    <row r="1264" spans="1:14" x14ac:dyDescent="0.3">
      <c r="A1264" s="36" t="s">
        <v>37</v>
      </c>
      <c r="B1264" s="13">
        <v>115</v>
      </c>
      <c r="C1264" s="48" t="str">
        <f t="shared" si="46"/>
        <v>P.L. 115-334</v>
      </c>
      <c r="D1264" s="3" t="s">
        <v>2179</v>
      </c>
      <c r="E1264" s="3" t="s">
        <v>2386</v>
      </c>
      <c r="F1264" s="3" t="s">
        <v>2387</v>
      </c>
      <c r="G1264" s="49"/>
      <c r="H1264" s="46">
        <v>45199</v>
      </c>
      <c r="I1264" s="13">
        <v>2023</v>
      </c>
      <c r="J1264" s="47">
        <v>10000000</v>
      </c>
      <c r="K1264" s="16" t="s">
        <v>62</v>
      </c>
      <c r="L1264" s="3" t="s">
        <v>1105</v>
      </c>
      <c r="M1264" s="3" t="s">
        <v>586</v>
      </c>
      <c r="N1264" s="3" t="s">
        <v>406</v>
      </c>
    </row>
    <row r="1265" spans="1:14" x14ac:dyDescent="0.3">
      <c r="A1265" s="36" t="s">
        <v>37</v>
      </c>
      <c r="B1265" s="13">
        <v>115</v>
      </c>
      <c r="C1265" s="48" t="str">
        <f t="shared" si="46"/>
        <v>P.L. 115-334</v>
      </c>
      <c r="D1265" s="3" t="s">
        <v>2179</v>
      </c>
      <c r="E1265" s="3" t="s">
        <v>2388</v>
      </c>
      <c r="F1265" s="3" t="s">
        <v>2387</v>
      </c>
      <c r="G1265" s="49"/>
      <c r="H1265" s="46">
        <v>45199</v>
      </c>
      <c r="I1265" s="13">
        <v>2023</v>
      </c>
      <c r="J1265" s="47">
        <v>1000000</v>
      </c>
      <c r="K1265" s="16" t="s">
        <v>62</v>
      </c>
      <c r="L1265" s="3" t="s">
        <v>1105</v>
      </c>
      <c r="M1265" s="3" t="s">
        <v>586</v>
      </c>
      <c r="N1265" s="3" t="s">
        <v>406</v>
      </c>
    </row>
    <row r="1266" spans="1:14" x14ac:dyDescent="0.3">
      <c r="A1266" s="36" t="s">
        <v>37</v>
      </c>
      <c r="B1266" s="13">
        <v>115</v>
      </c>
      <c r="C1266" s="48" t="str">
        <f t="shared" si="46"/>
        <v>P.L. 115-334</v>
      </c>
      <c r="D1266" s="3" t="s">
        <v>2179</v>
      </c>
      <c r="E1266" s="3" t="s">
        <v>2389</v>
      </c>
      <c r="F1266" s="3" t="s">
        <v>2390</v>
      </c>
      <c r="G1266" s="49"/>
      <c r="H1266" s="46">
        <v>45199</v>
      </c>
      <c r="I1266" s="13">
        <v>2023</v>
      </c>
      <c r="J1266" s="47">
        <v>24000000</v>
      </c>
      <c r="K1266" s="16" t="s">
        <v>62</v>
      </c>
      <c r="L1266" s="3" t="s">
        <v>1105</v>
      </c>
      <c r="M1266" s="3" t="s">
        <v>586</v>
      </c>
      <c r="N1266" s="3" t="s">
        <v>406</v>
      </c>
    </row>
    <row r="1267" spans="1:14" x14ac:dyDescent="0.3">
      <c r="A1267" s="36" t="s">
        <v>37</v>
      </c>
      <c r="B1267" s="13">
        <v>115</v>
      </c>
      <c r="C1267" s="48" t="str">
        <f t="shared" si="46"/>
        <v>P.L. 115-334</v>
      </c>
      <c r="D1267" s="3" t="s">
        <v>2179</v>
      </c>
      <c r="E1267" s="3" t="s">
        <v>2391</v>
      </c>
      <c r="F1267" s="3" t="s">
        <v>2392</v>
      </c>
      <c r="G1267" s="49"/>
      <c r="H1267" s="46">
        <v>45199</v>
      </c>
      <c r="I1267" s="13">
        <v>2023</v>
      </c>
      <c r="J1267" s="47">
        <v>2500000</v>
      </c>
      <c r="K1267" s="16" t="s">
        <v>62</v>
      </c>
      <c r="L1267" s="3" t="s">
        <v>1105</v>
      </c>
      <c r="M1267" s="3" t="s">
        <v>586</v>
      </c>
      <c r="N1267" s="3" t="s">
        <v>406</v>
      </c>
    </row>
    <row r="1268" spans="1:14" x14ac:dyDescent="0.3">
      <c r="A1268" s="36" t="s">
        <v>37</v>
      </c>
      <c r="B1268" s="13">
        <v>115</v>
      </c>
      <c r="C1268" s="48" t="str">
        <f t="shared" si="46"/>
        <v>P.L. 115-334</v>
      </c>
      <c r="D1268" s="3" t="s">
        <v>2179</v>
      </c>
      <c r="E1268" s="3" t="s">
        <v>2393</v>
      </c>
      <c r="F1268" s="3" t="s">
        <v>2394</v>
      </c>
      <c r="G1268" s="49"/>
      <c r="H1268" s="46">
        <v>45199</v>
      </c>
      <c r="I1268" s="13">
        <v>2023</v>
      </c>
      <c r="J1268" s="47">
        <v>30000000</v>
      </c>
      <c r="K1268" s="16" t="s">
        <v>62</v>
      </c>
      <c r="L1268" s="3" t="s">
        <v>1105</v>
      </c>
      <c r="M1268" s="3" t="s">
        <v>586</v>
      </c>
      <c r="N1268" s="3" t="s">
        <v>406</v>
      </c>
    </row>
    <row r="1269" spans="1:14" x14ac:dyDescent="0.3">
      <c r="A1269" s="36" t="s">
        <v>37</v>
      </c>
      <c r="B1269" s="13">
        <v>115</v>
      </c>
      <c r="C1269" s="48" t="str">
        <f t="shared" si="46"/>
        <v>P.L. 115-334</v>
      </c>
      <c r="D1269" s="3" t="s">
        <v>2179</v>
      </c>
      <c r="E1269" s="3" t="s">
        <v>2395</v>
      </c>
      <c r="F1269" s="3" t="s">
        <v>2396</v>
      </c>
      <c r="G1269" s="49"/>
      <c r="H1269" s="46">
        <v>45199</v>
      </c>
      <c r="I1269" s="13">
        <v>2023</v>
      </c>
      <c r="J1269" s="47">
        <v>15000000</v>
      </c>
      <c r="K1269" s="16" t="s">
        <v>62</v>
      </c>
      <c r="L1269" s="3" t="s">
        <v>1105</v>
      </c>
      <c r="M1269" s="3" t="s">
        <v>586</v>
      </c>
      <c r="N1269" s="3" t="s">
        <v>406</v>
      </c>
    </row>
    <row r="1270" spans="1:14" x14ac:dyDescent="0.3">
      <c r="A1270" s="36" t="s">
        <v>37</v>
      </c>
      <c r="B1270" s="13">
        <v>115</v>
      </c>
      <c r="C1270" s="48" t="str">
        <f t="shared" si="46"/>
        <v>P.L. 115-334</v>
      </c>
      <c r="D1270" s="3" t="s">
        <v>2179</v>
      </c>
      <c r="E1270" s="3" t="s">
        <v>2397</v>
      </c>
      <c r="F1270" s="3" t="s">
        <v>2398</v>
      </c>
      <c r="G1270" s="49"/>
      <c r="H1270" s="46">
        <v>45199</v>
      </c>
      <c r="I1270" s="13">
        <v>2023</v>
      </c>
      <c r="J1270" s="47">
        <v>50000000</v>
      </c>
      <c r="K1270" s="16" t="s">
        <v>62</v>
      </c>
      <c r="L1270" s="3" t="s">
        <v>1105</v>
      </c>
      <c r="M1270" s="3" t="s">
        <v>586</v>
      </c>
      <c r="N1270" s="3" t="s">
        <v>406</v>
      </c>
    </row>
    <row r="1271" spans="1:14" x14ac:dyDescent="0.3">
      <c r="A1271" s="36" t="s">
        <v>37</v>
      </c>
      <c r="B1271" s="13">
        <v>115</v>
      </c>
      <c r="C1271" s="48" t="str">
        <f t="shared" si="46"/>
        <v>P.L. 115-334</v>
      </c>
      <c r="D1271" s="3" t="s">
        <v>2179</v>
      </c>
      <c r="E1271" s="3" t="s">
        <v>2399</v>
      </c>
      <c r="F1271" s="3" t="s">
        <v>2400</v>
      </c>
      <c r="G1271" s="49"/>
      <c r="H1271" s="46">
        <v>45199</v>
      </c>
      <c r="I1271" s="13">
        <v>2023</v>
      </c>
      <c r="J1271" s="47">
        <v>25000000</v>
      </c>
      <c r="K1271" s="16" t="s">
        <v>62</v>
      </c>
      <c r="L1271" s="3" t="s">
        <v>1105</v>
      </c>
      <c r="M1271" s="3" t="s">
        <v>586</v>
      </c>
      <c r="N1271" s="3" t="s">
        <v>406</v>
      </c>
    </row>
    <row r="1272" spans="1:14" x14ac:dyDescent="0.3">
      <c r="A1272" s="36" t="s">
        <v>37</v>
      </c>
      <c r="B1272" s="13">
        <v>115</v>
      </c>
      <c r="C1272" s="48" t="str">
        <f t="shared" si="46"/>
        <v>P.L. 115-334</v>
      </c>
      <c r="D1272" s="3" t="s">
        <v>2179</v>
      </c>
      <c r="E1272" s="3" t="s">
        <v>1286</v>
      </c>
      <c r="F1272" s="3" t="s">
        <v>2401</v>
      </c>
      <c r="G1272" s="49"/>
      <c r="H1272" s="46">
        <v>45199</v>
      </c>
      <c r="I1272" s="13">
        <v>2023</v>
      </c>
      <c r="J1272" s="47">
        <v>3000000</v>
      </c>
      <c r="K1272" s="16" t="s">
        <v>62</v>
      </c>
      <c r="L1272" s="3" t="s">
        <v>1105</v>
      </c>
      <c r="M1272" s="3" t="s">
        <v>586</v>
      </c>
      <c r="N1272" s="3" t="s">
        <v>406</v>
      </c>
    </row>
    <row r="1273" spans="1:14" x14ac:dyDescent="0.3">
      <c r="A1273" s="36" t="s">
        <v>37</v>
      </c>
      <c r="B1273" s="13">
        <v>115</v>
      </c>
      <c r="C1273" s="48" t="str">
        <f t="shared" si="46"/>
        <v>P.L. 115-334</v>
      </c>
      <c r="D1273" s="3" t="s">
        <v>2179</v>
      </c>
      <c r="E1273" s="3" t="s">
        <v>2402</v>
      </c>
      <c r="F1273" s="3" t="s">
        <v>2403</v>
      </c>
      <c r="G1273" s="49"/>
      <c r="H1273" s="46">
        <v>45199</v>
      </c>
      <c r="I1273" s="13">
        <v>2023</v>
      </c>
      <c r="J1273" s="47">
        <v>5000000</v>
      </c>
      <c r="K1273" s="16" t="s">
        <v>62</v>
      </c>
      <c r="L1273" s="3" t="s">
        <v>1105</v>
      </c>
      <c r="M1273" s="3" t="s">
        <v>586</v>
      </c>
      <c r="N1273" s="3" t="s">
        <v>406</v>
      </c>
    </row>
    <row r="1274" spans="1:14" x14ac:dyDescent="0.3">
      <c r="A1274" s="36" t="s">
        <v>37</v>
      </c>
      <c r="B1274" s="13">
        <v>115</v>
      </c>
      <c r="C1274" s="48" t="str">
        <f t="shared" si="46"/>
        <v>P.L. 115-334</v>
      </c>
      <c r="D1274" s="3" t="s">
        <v>2179</v>
      </c>
      <c r="E1274" s="3" t="s">
        <v>2404</v>
      </c>
      <c r="F1274" s="3" t="s">
        <v>2405</v>
      </c>
      <c r="G1274" s="49"/>
      <c r="H1274" s="46">
        <v>45199</v>
      </c>
      <c r="I1274" s="13">
        <v>2023</v>
      </c>
      <c r="J1274" s="47">
        <v>20000000</v>
      </c>
      <c r="K1274" s="16" t="s">
        <v>62</v>
      </c>
      <c r="L1274" s="3" t="s">
        <v>1105</v>
      </c>
      <c r="M1274" s="3" t="s">
        <v>586</v>
      </c>
      <c r="N1274" s="3" t="s">
        <v>406</v>
      </c>
    </row>
    <row r="1275" spans="1:14" x14ac:dyDescent="0.3">
      <c r="A1275" s="36" t="s">
        <v>37</v>
      </c>
      <c r="B1275" s="13">
        <v>115</v>
      </c>
      <c r="C1275" s="48" t="str">
        <f t="shared" si="46"/>
        <v>P.L. 115-334</v>
      </c>
      <c r="D1275" s="3" t="s">
        <v>2179</v>
      </c>
      <c r="E1275" s="3" t="s">
        <v>2406</v>
      </c>
      <c r="F1275" s="3" t="s">
        <v>2407</v>
      </c>
      <c r="G1275" s="49"/>
      <c r="H1275" s="46">
        <v>45199</v>
      </c>
      <c r="I1275" s="13">
        <v>2023</v>
      </c>
      <c r="J1275" s="47">
        <v>3000000</v>
      </c>
      <c r="K1275" s="16" t="s">
        <v>62</v>
      </c>
      <c r="L1275" s="3" t="s">
        <v>1105</v>
      </c>
      <c r="M1275" s="3" t="s">
        <v>586</v>
      </c>
      <c r="N1275" s="3" t="s">
        <v>406</v>
      </c>
    </row>
    <row r="1276" spans="1:14" x14ac:dyDescent="0.3">
      <c r="A1276" s="36" t="s">
        <v>37</v>
      </c>
      <c r="B1276" s="13">
        <v>115</v>
      </c>
      <c r="C1276" s="48" t="str">
        <f t="shared" si="46"/>
        <v>P.L. 115-334</v>
      </c>
      <c r="D1276" s="3" t="s">
        <v>2179</v>
      </c>
      <c r="E1276" s="3" t="s">
        <v>2408</v>
      </c>
      <c r="F1276" s="3" t="s">
        <v>2409</v>
      </c>
      <c r="G1276" s="49"/>
      <c r="H1276" s="46">
        <v>45199</v>
      </c>
      <c r="I1276" s="13">
        <v>2023</v>
      </c>
      <c r="J1276" s="47">
        <v>23000000</v>
      </c>
      <c r="K1276" s="16" t="s">
        <v>62</v>
      </c>
      <c r="L1276" s="3" t="s">
        <v>1105</v>
      </c>
      <c r="M1276" s="3" t="s">
        <v>586</v>
      </c>
      <c r="N1276" s="3" t="s">
        <v>406</v>
      </c>
    </row>
    <row r="1277" spans="1:14" x14ac:dyDescent="0.3">
      <c r="A1277" s="36" t="s">
        <v>37</v>
      </c>
      <c r="B1277" s="13">
        <v>115</v>
      </c>
      <c r="C1277" s="48" t="str">
        <f t="shared" si="46"/>
        <v>P.L. 115-334</v>
      </c>
      <c r="D1277" s="3" t="s">
        <v>2179</v>
      </c>
      <c r="E1277" s="3" t="s">
        <v>2350</v>
      </c>
      <c r="F1277" s="3" t="s">
        <v>2410</v>
      </c>
      <c r="G1277" s="48" t="str">
        <f>HYPERLINK("https://uscode.house.gov/view.xhtml?req=granuleid:USC-prelim-title40-section15751&amp;num=0&amp;edition=prelim", "40 U.S.C. 15751(a)")</f>
        <v>40 U.S.C. 15751(a)</v>
      </c>
      <c r="H1277" s="46">
        <v>45199</v>
      </c>
      <c r="I1277" s="13">
        <v>2023</v>
      </c>
      <c r="J1277" s="47">
        <v>33000000</v>
      </c>
      <c r="K1277" s="16" t="s">
        <v>62</v>
      </c>
      <c r="L1277" s="3" t="s">
        <v>109</v>
      </c>
      <c r="M1277" s="3" t="s">
        <v>67</v>
      </c>
      <c r="N1277" s="3" t="s">
        <v>406</v>
      </c>
    </row>
    <row r="1278" spans="1:14" x14ac:dyDescent="0.3">
      <c r="A1278" s="36" t="s">
        <v>37</v>
      </c>
      <c r="B1278" s="13">
        <v>115</v>
      </c>
      <c r="C1278" s="48" t="str">
        <f t="shared" si="46"/>
        <v>P.L. 115-334</v>
      </c>
      <c r="D1278" s="3" t="s">
        <v>2179</v>
      </c>
      <c r="E1278" s="3" t="s">
        <v>2350</v>
      </c>
      <c r="F1278" s="3" t="s">
        <v>2411</v>
      </c>
      <c r="G1278" s="48" t="str">
        <f>HYPERLINK("https://uscode.house.gov/view.xhtml?req=granuleid:USC-prelim-title40-section15751&amp;num=0&amp;edition=prelim", "40 U.S.C. 15751(a)")</f>
        <v>40 U.S.C. 15751(a)</v>
      </c>
      <c r="H1278" s="46">
        <v>45199</v>
      </c>
      <c r="I1278" s="13">
        <v>2023</v>
      </c>
      <c r="J1278" s="47">
        <v>33000000</v>
      </c>
      <c r="K1278" s="16" t="s">
        <v>62</v>
      </c>
      <c r="L1278" s="3" t="s">
        <v>109</v>
      </c>
      <c r="M1278" s="3" t="s">
        <v>67</v>
      </c>
      <c r="N1278" s="3" t="s">
        <v>406</v>
      </c>
    </row>
    <row r="1279" spans="1:14" x14ac:dyDescent="0.3">
      <c r="A1279" s="36" t="s">
        <v>37</v>
      </c>
      <c r="B1279" s="13">
        <v>115</v>
      </c>
      <c r="C1279" s="48" t="str">
        <f>HYPERLINK("https://uscode.house.gov/statutes/pl/115/342.pdf", "P.L. 115-342")</f>
        <v>P.L. 115-342</v>
      </c>
      <c r="D1279" s="3" t="s">
        <v>2412</v>
      </c>
      <c r="F1279" s="3" t="s">
        <v>2413</v>
      </c>
      <c r="G1279" s="48" t="str">
        <f>HYPERLINK("https://uscode.house.gov/view.xhtml?req=granuleid:USC-prelim-title42-section280g-13&amp;num=0&amp;edition=prelim", "42 U.S.C. 280g-13")</f>
        <v>42 U.S.C. 280g-13</v>
      </c>
      <c r="H1279" s="46">
        <v>45565</v>
      </c>
      <c r="I1279" s="13">
        <v>2024</v>
      </c>
      <c r="J1279" s="47">
        <v>10000000</v>
      </c>
      <c r="K1279" s="16" t="s">
        <v>62</v>
      </c>
      <c r="L1279" s="3" t="s">
        <v>60</v>
      </c>
      <c r="M1279" s="3" t="s">
        <v>71</v>
      </c>
      <c r="N1279" s="3" t="s">
        <v>72</v>
      </c>
    </row>
    <row r="1280" spans="1:14" x14ac:dyDescent="0.3">
      <c r="A1280" s="36" t="s">
        <v>37</v>
      </c>
      <c r="B1280" s="13">
        <v>115</v>
      </c>
      <c r="C1280" s="48" t="str">
        <f>HYPERLINK("https://uscode.house.gov/statutes/pl/115/344.pdf", "P.L. 115-344")</f>
        <v>P.L. 115-344</v>
      </c>
      <c r="D1280" s="3" t="s">
        <v>2414</v>
      </c>
      <c r="F1280" s="3" t="s">
        <v>2415</v>
      </c>
      <c r="G1280" s="48" t="str">
        <f>HYPERLINK("https://uscode.house.gov/view.xhtml?req=granuleid:USC-prelim-title42-section247b-12&amp;num=0&amp;edition=prelim", "42 U.S.C. 247b-12")</f>
        <v>42 U.S.C. 247b-12</v>
      </c>
      <c r="H1280" s="46">
        <v>45199</v>
      </c>
      <c r="I1280" s="13">
        <v>2023</v>
      </c>
      <c r="J1280" s="47">
        <v>58000000</v>
      </c>
      <c r="K1280" s="16" t="s">
        <v>62</v>
      </c>
      <c r="L1280" s="3" t="s">
        <v>60</v>
      </c>
      <c r="M1280" s="3" t="s">
        <v>71</v>
      </c>
      <c r="N1280" s="3" t="s">
        <v>72</v>
      </c>
    </row>
    <row r="1281" spans="1:14" x14ac:dyDescent="0.3">
      <c r="A1281" s="36" t="s">
        <v>37</v>
      </c>
      <c r="B1281" s="13">
        <v>115</v>
      </c>
      <c r="C1281" s="48" t="str">
        <f>HYPERLINK("https://uscode.house.gov/statutes/pl/115/377.pdf", "P.L. 115-377")</f>
        <v>P.L. 115-377</v>
      </c>
      <c r="D1281" s="3" t="s">
        <v>2416</v>
      </c>
      <c r="F1281" s="3" t="s">
        <v>2417</v>
      </c>
      <c r="G1281" s="48" t="str">
        <f>HYPERLINK("https://uscode.house.gov/view.xhtml?req=granuleid:USC-prelim-title42-section300d-52&amp;num=0&amp;edition=prelim", "42 U.S.C. 300d-52(j)")</f>
        <v>42 U.S.C. 300d-52(j)</v>
      </c>
      <c r="H1281" s="46">
        <v>45565</v>
      </c>
      <c r="I1281" s="13">
        <v>2024</v>
      </c>
      <c r="J1281" s="47">
        <v>7321000</v>
      </c>
      <c r="K1281" s="16" t="s">
        <v>62</v>
      </c>
      <c r="L1281" s="3" t="s">
        <v>60</v>
      </c>
      <c r="M1281" s="3" t="s">
        <v>71</v>
      </c>
      <c r="N1281" s="3" t="s">
        <v>72</v>
      </c>
    </row>
    <row r="1282" spans="1:14" x14ac:dyDescent="0.3">
      <c r="A1282" s="36" t="s">
        <v>37</v>
      </c>
      <c r="B1282" s="13">
        <v>115</v>
      </c>
      <c r="C1282" s="48" t="str">
        <f>HYPERLINK("https://uscode.house.gov/statutes/pl/115/377.pdf", "P.L. 115-377")</f>
        <v>P.L. 115-377</v>
      </c>
      <c r="D1282" s="3" t="s">
        <v>2416</v>
      </c>
      <c r="F1282" s="3" t="s">
        <v>2418</v>
      </c>
      <c r="G1282" s="48" t="str">
        <f>HYPERLINK("https://uscode.house.gov/view.xhtml?req=granuleid:USC-prelim-title42-section280b-3&amp;num=0&amp;edition=prelim", "42 U.S.C. 280b-3(b)")</f>
        <v>42 U.S.C. 280b-3(b)</v>
      </c>
      <c r="H1282" s="46">
        <v>45565</v>
      </c>
      <c r="I1282" s="13">
        <v>2024</v>
      </c>
      <c r="J1282" s="47">
        <v>11500000</v>
      </c>
      <c r="K1282" s="16" t="s">
        <v>62</v>
      </c>
      <c r="L1282" s="3" t="s">
        <v>60</v>
      </c>
      <c r="M1282" s="3" t="s">
        <v>71</v>
      </c>
      <c r="N1282" s="3" t="s">
        <v>72</v>
      </c>
    </row>
    <row r="1283" spans="1:14" x14ac:dyDescent="0.3">
      <c r="A1283" s="36" t="s">
        <v>37</v>
      </c>
      <c r="B1283" s="13">
        <v>115</v>
      </c>
      <c r="C1283" s="48" t="str">
        <f>HYPERLINK("https://uscode.house.gov/statutes/pl/115/377.pdf", "P.L. 115-377")</f>
        <v>P.L. 115-377</v>
      </c>
      <c r="D1283" s="3" t="s">
        <v>2416</v>
      </c>
      <c r="F1283" s="3" t="s">
        <v>2419</v>
      </c>
      <c r="G1283" s="48" t="str">
        <f>HYPERLINK("https://uscode.house.gov/view.xhtml?req=granuleid:USC-prelim-title42-section300d-53&amp;num=0&amp;edition=prelim", "42 U.S.C. 300d-53(l)")</f>
        <v>42 U.S.C. 300d-53(l)</v>
      </c>
      <c r="H1283" s="46">
        <v>45565</v>
      </c>
      <c r="I1283" s="13">
        <v>2024</v>
      </c>
      <c r="J1283" s="47">
        <v>4000000</v>
      </c>
      <c r="K1283" s="16" t="s">
        <v>62</v>
      </c>
      <c r="L1283" s="3" t="s">
        <v>60</v>
      </c>
      <c r="M1283" s="3" t="s">
        <v>71</v>
      </c>
      <c r="N1283" s="3" t="s">
        <v>72</v>
      </c>
    </row>
    <row r="1284" spans="1:14" x14ac:dyDescent="0.3">
      <c r="A1284" s="36" t="s">
        <v>37</v>
      </c>
      <c r="B1284" s="13">
        <v>115</v>
      </c>
      <c r="C1284" s="48" t="str">
        <f>HYPERLINK("https://uscode.house.gov/statutes/pl/115/425.pdf", "P.L. 115-425")</f>
        <v>P.L. 115-425</v>
      </c>
      <c r="D1284" s="3" t="s">
        <v>2495</v>
      </c>
      <c r="E1284" s="3" t="s">
        <v>2496</v>
      </c>
      <c r="F1284" s="3" t="s">
        <v>2497</v>
      </c>
      <c r="G1284" s="48" t="str">
        <f>HYPERLINK("https://uscode.house.gov/view.xhtml?req=granuleid:USC-prelim-title22-section7110&amp;num=0&amp;edition=prelim", "22 U.S.C. 7110(b)(1)")</f>
        <v>22 U.S.C. 7110(b)(1)</v>
      </c>
      <c r="H1284" s="46">
        <v>44469</v>
      </c>
      <c r="I1284" s="13">
        <v>2021</v>
      </c>
      <c r="J1284" s="47">
        <v>19500000</v>
      </c>
      <c r="K1284" s="16" t="s">
        <v>62</v>
      </c>
      <c r="L1284" s="3" t="s">
        <v>130</v>
      </c>
      <c r="M1284" s="3" t="s">
        <v>71</v>
      </c>
      <c r="N1284" s="3" t="s">
        <v>72</v>
      </c>
    </row>
    <row r="1285" spans="1:14" x14ac:dyDescent="0.3">
      <c r="A1285" s="36" t="s">
        <v>37</v>
      </c>
      <c r="B1285" s="13">
        <v>115</v>
      </c>
      <c r="C1285" s="48" t="str">
        <f>HYPERLINK("https://uscode.house.gov/statutes/pl/115/267.pdf", "P.L. 115-267")</f>
        <v>P.L. 115-267</v>
      </c>
      <c r="D1285" s="3" t="s">
        <v>2048</v>
      </c>
      <c r="E1285" s="3" t="s">
        <v>1838</v>
      </c>
      <c r="F1285" s="3" t="s">
        <v>2049</v>
      </c>
      <c r="G1285" s="48" t="str">
        <f>HYPERLINK("https://uscode.house.gov/view.xhtml?req=granuleid:USC-prelim-title34-section11297&amp;num=0&amp;edition=prelim", "34 U.S.C. 11297")</f>
        <v>34 U.S.C. 11297</v>
      </c>
      <c r="H1285" s="46">
        <v>45199</v>
      </c>
      <c r="I1285" s="13">
        <v>2023</v>
      </c>
      <c r="J1285" s="47">
        <v>40000000</v>
      </c>
      <c r="K1285" s="16" t="s">
        <v>62</v>
      </c>
      <c r="L1285" s="3" t="s">
        <v>130</v>
      </c>
      <c r="M1285" s="3" t="s">
        <v>42</v>
      </c>
      <c r="N1285" s="3" t="s">
        <v>43</v>
      </c>
    </row>
    <row r="1286" spans="1:14" x14ac:dyDescent="0.3">
      <c r="A1286" s="36" t="s">
        <v>37</v>
      </c>
      <c r="B1286" s="13">
        <v>115</v>
      </c>
      <c r="C1286" s="48" t="str">
        <f>HYPERLINK("https://uscode.house.gov/statutes/pl/115/385.pdf", "P.L. 115-385")</f>
        <v>P.L. 115-385</v>
      </c>
      <c r="D1286" s="3" t="s">
        <v>2420</v>
      </c>
      <c r="E1286" s="3" t="s">
        <v>2421</v>
      </c>
      <c r="F1286" s="3" t="s">
        <v>2422</v>
      </c>
      <c r="G1286" s="48" t="str">
        <f>HYPERLINK("https://uscode.house.gov/view.xhtml?req=granuleid:USC-prelim-title34-section11321&amp;num=0&amp;edition=prelim", "34 U.S.C. 11321")</f>
        <v>34 U.S.C. 11321</v>
      </c>
      <c r="H1286" s="46">
        <v>45199</v>
      </c>
      <c r="I1286" s="13">
        <v>2023</v>
      </c>
      <c r="J1286" s="47">
        <v>176000000</v>
      </c>
      <c r="K1286" s="16" t="s">
        <v>62</v>
      </c>
      <c r="L1286" s="3" t="s">
        <v>130</v>
      </c>
      <c r="M1286" s="3" t="s">
        <v>42</v>
      </c>
      <c r="N1286" s="3" t="s">
        <v>43</v>
      </c>
    </row>
    <row r="1287" spans="1:14" x14ac:dyDescent="0.3">
      <c r="A1287" s="36" t="s">
        <v>37</v>
      </c>
      <c r="B1287" s="13">
        <v>116</v>
      </c>
      <c r="C1287" s="48" t="str">
        <f>HYPERLINK("https://uscode.house.gov/statutes/pl/116/94.pdf", "P.L. 116-94")</f>
        <v>P.L. 116-94</v>
      </c>
      <c r="D1287" s="3" t="s">
        <v>1947</v>
      </c>
      <c r="E1287" s="3" t="s">
        <v>2602</v>
      </c>
      <c r="F1287" s="3" t="s">
        <v>2603</v>
      </c>
      <c r="G1287" s="48" t="str">
        <f>HYPERLINK("https://uscode.house.gov/view.xhtml?req=granuleid:USC-prelim-title20-section5609&amp;num=0&amp;edition=prelim", "20 U.S.C. 5609(b)")</f>
        <v>20 U.S.C. 5609(b)</v>
      </c>
      <c r="H1287" s="46">
        <v>45199</v>
      </c>
      <c r="I1287" s="13">
        <v>2023</v>
      </c>
      <c r="J1287" s="47">
        <v>4000000</v>
      </c>
      <c r="K1287" s="16" t="s">
        <v>62</v>
      </c>
      <c r="L1287" s="3" t="s">
        <v>130</v>
      </c>
      <c r="M1287" s="3" t="s">
        <v>67</v>
      </c>
      <c r="N1287" s="3" t="s">
        <v>55</v>
      </c>
    </row>
    <row r="1288" spans="1:14" x14ac:dyDescent="0.3">
      <c r="A1288" s="36" t="s">
        <v>37</v>
      </c>
      <c r="B1288" s="13">
        <v>116</v>
      </c>
      <c r="C1288" s="48" t="str">
        <f>HYPERLINK("https://uscode.house.gov/statutes/pl/116/94.pdf", "P.L. 116-94")</f>
        <v>P.L. 116-94</v>
      </c>
      <c r="D1288" s="3" t="s">
        <v>1947</v>
      </c>
      <c r="E1288" s="3" t="s">
        <v>2602</v>
      </c>
      <c r="F1288" s="3" t="s">
        <v>2604</v>
      </c>
      <c r="G1288" s="48" t="str">
        <f>HYPERLINK("https://uscode.house.gov/view.xhtml?req=granuleid:USC-prelim-title20-section5609&amp;num=0&amp;edition=prelim", "20 U.S.C. 5609(a)")</f>
        <v>20 U.S.C. 5609(a)</v>
      </c>
      <c r="H1288" s="46">
        <v>45199</v>
      </c>
      <c r="I1288" s="13">
        <v>2023</v>
      </c>
      <c r="J1288" s="47">
        <v>2000000</v>
      </c>
      <c r="K1288" s="16" t="s">
        <v>62</v>
      </c>
      <c r="L1288" s="3" t="s">
        <v>130</v>
      </c>
      <c r="M1288" s="3" t="s">
        <v>67</v>
      </c>
      <c r="N1288" s="3" t="s">
        <v>55</v>
      </c>
    </row>
    <row r="1289" spans="1:14" x14ac:dyDescent="0.3">
      <c r="A1289" s="36" t="s">
        <v>37</v>
      </c>
      <c r="B1289" s="13">
        <v>115</v>
      </c>
      <c r="C1289" s="48" t="str">
        <f>HYPERLINK("https://uscode.house.gov/statutes/pl/115/390.pdf", "P.L. 115-390")</f>
        <v>P.L. 115-390</v>
      </c>
      <c r="D1289" s="3" t="s">
        <v>2430</v>
      </c>
      <c r="E1289" s="3" t="s">
        <v>1362</v>
      </c>
      <c r="F1289" s="3" t="s">
        <v>2431</v>
      </c>
      <c r="G1289" s="49"/>
      <c r="H1289" s="46">
        <v>43738</v>
      </c>
      <c r="I1289" s="13">
        <v>2019</v>
      </c>
      <c r="J1289" s="47">
        <v>250000</v>
      </c>
      <c r="K1289" s="16" t="s">
        <v>62</v>
      </c>
      <c r="L1289" s="3" t="s">
        <v>642</v>
      </c>
      <c r="M1289" s="3" t="s">
        <v>230</v>
      </c>
      <c r="N1289" s="3" t="s">
        <v>122</v>
      </c>
    </row>
    <row r="1290" spans="1:14" x14ac:dyDescent="0.3">
      <c r="A1290" s="36" t="s">
        <v>37</v>
      </c>
      <c r="B1290" s="13">
        <v>115</v>
      </c>
      <c r="C1290" s="48" t="str">
        <f t="shared" ref="C1290:C1298" si="47">HYPERLINK("https://uscode.house.gov/statutes/pl/115/391.pdf", "P.L. 115-391")</f>
        <v>P.L. 115-391</v>
      </c>
      <c r="D1290" s="3" t="s">
        <v>2432</v>
      </c>
      <c r="E1290" s="3" t="s">
        <v>188</v>
      </c>
      <c r="F1290" s="3" t="s">
        <v>2433</v>
      </c>
      <c r="G1290" s="48" t="str">
        <f>HYPERLINK("https://uscode.house.gov/view.xhtml?req=granuleid:USC-prelim-title18-section3621&amp;num=0&amp;edition=prelim", "18 U.S.C. 3621(note)")</f>
        <v>18 U.S.C. 3621(note)</v>
      </c>
      <c r="H1290" s="46">
        <v>45199</v>
      </c>
      <c r="I1290" s="13">
        <v>2023</v>
      </c>
      <c r="J1290" s="47">
        <v>75000000</v>
      </c>
      <c r="K1290" s="16" t="s">
        <v>62</v>
      </c>
      <c r="L1290" s="3" t="s">
        <v>41</v>
      </c>
      <c r="M1290" s="3" t="s">
        <v>42</v>
      </c>
      <c r="N1290" s="3" t="s">
        <v>43</v>
      </c>
    </row>
    <row r="1291" spans="1:14" x14ac:dyDescent="0.3">
      <c r="A1291" s="36" t="s">
        <v>37</v>
      </c>
      <c r="B1291" s="13">
        <v>115</v>
      </c>
      <c r="C1291" s="48" t="str">
        <f t="shared" si="47"/>
        <v>P.L. 115-391</v>
      </c>
      <c r="D1291" s="3" t="s">
        <v>2432</v>
      </c>
      <c r="E1291" s="3" t="s">
        <v>2434</v>
      </c>
      <c r="F1291" s="3" t="s">
        <v>2435</v>
      </c>
      <c r="G1291" s="48" t="str">
        <f>HYPERLINK("https://uscode.house.gov/view.xhtml?req=granuleid:USC-prelim-title34-section60511&amp;num=0&amp;edition=prelim", "34 U.S.C. 60511(f)")</f>
        <v>34 U.S.C. 60511(f)</v>
      </c>
      <c r="H1291" s="46">
        <v>45199</v>
      </c>
      <c r="I1291" s="13">
        <v>2023</v>
      </c>
      <c r="J1291" s="47">
        <v>10000000</v>
      </c>
      <c r="K1291" s="16" t="s">
        <v>62</v>
      </c>
      <c r="L1291" s="3" t="s">
        <v>41</v>
      </c>
      <c r="M1291" s="3" t="s">
        <v>42</v>
      </c>
      <c r="N1291" s="3" t="s">
        <v>43</v>
      </c>
    </row>
    <row r="1292" spans="1:14" x14ac:dyDescent="0.3">
      <c r="A1292" s="36" t="s">
        <v>37</v>
      </c>
      <c r="B1292" s="13">
        <v>115</v>
      </c>
      <c r="C1292" s="48" t="str">
        <f t="shared" si="47"/>
        <v>P.L. 115-391</v>
      </c>
      <c r="D1292" s="3" t="s">
        <v>2432</v>
      </c>
      <c r="E1292" s="3" t="s">
        <v>2436</v>
      </c>
      <c r="F1292" s="3" t="s">
        <v>2437</v>
      </c>
      <c r="G1292" s="48" t="str">
        <f>HYPERLINK("https://uscode.house.gov/view.xhtml?req=granuleid:USC-prelim-title34-section60555&amp;num=0&amp;edition=prelim", "34 U.S.C. 60555")</f>
        <v>34 U.S.C. 60555</v>
      </c>
      <c r="H1292" s="46">
        <v>45199</v>
      </c>
      <c r="I1292" s="13">
        <v>2023</v>
      </c>
      <c r="J1292" s="47">
        <v>5000000</v>
      </c>
      <c r="K1292" s="16" t="s">
        <v>62</v>
      </c>
      <c r="L1292" s="3" t="s">
        <v>41</v>
      </c>
      <c r="M1292" s="3" t="s">
        <v>42</v>
      </c>
      <c r="N1292" s="3" t="s">
        <v>43</v>
      </c>
    </row>
    <row r="1293" spans="1:14" x14ac:dyDescent="0.3">
      <c r="A1293" s="36" t="s">
        <v>37</v>
      </c>
      <c r="B1293" s="13">
        <v>115</v>
      </c>
      <c r="C1293" s="48" t="str">
        <f t="shared" si="47"/>
        <v>P.L. 115-391</v>
      </c>
      <c r="D1293" s="3" t="s">
        <v>2432</v>
      </c>
      <c r="E1293" s="3" t="s">
        <v>2438</v>
      </c>
      <c r="F1293" s="3" t="s">
        <v>2439</v>
      </c>
      <c r="G1293" s="48" t="str">
        <f>HYPERLINK("https://uscode.house.gov/view.xhtml?req=granuleid:USC-prelim-title34-section10631&amp;num=0&amp;edition=prelim", "34 U.S.C. 10631(o)(1)")</f>
        <v>34 U.S.C. 10631(o)(1)</v>
      </c>
      <c r="H1293" s="46">
        <v>45199</v>
      </c>
      <c r="I1293" s="13">
        <v>2023</v>
      </c>
      <c r="J1293" s="47">
        <v>35000000</v>
      </c>
      <c r="K1293" s="16" t="s">
        <v>62</v>
      </c>
      <c r="L1293" s="3" t="s">
        <v>41</v>
      </c>
      <c r="M1293" s="3" t="s">
        <v>42</v>
      </c>
      <c r="N1293" s="3" t="s">
        <v>43</v>
      </c>
    </row>
    <row r="1294" spans="1:14" x14ac:dyDescent="0.3">
      <c r="A1294" s="36" t="s">
        <v>37</v>
      </c>
      <c r="B1294" s="13">
        <v>115</v>
      </c>
      <c r="C1294" s="48" t="str">
        <f t="shared" si="47"/>
        <v>P.L. 115-391</v>
      </c>
      <c r="D1294" s="3" t="s">
        <v>2432</v>
      </c>
      <c r="E1294" s="3" t="s">
        <v>2440</v>
      </c>
      <c r="F1294" s="3" t="s">
        <v>2441</v>
      </c>
      <c r="G1294" s="48" t="str">
        <f>HYPERLINK("https://uscode.house.gov/view.xhtml?req=granuleid:USC-prelim-title34-section10595a&amp;num=0&amp;edition=prelim", "34 U.S.C. 10595a(a)")</f>
        <v>34 U.S.C. 10595a(a)</v>
      </c>
      <c r="H1294" s="46">
        <v>45199</v>
      </c>
      <c r="I1294" s="13">
        <v>2023</v>
      </c>
      <c r="J1294" s="47">
        <v>10000000</v>
      </c>
      <c r="K1294" s="16" t="s">
        <v>62</v>
      </c>
      <c r="L1294" s="3" t="s">
        <v>41</v>
      </c>
      <c r="M1294" s="3" t="s">
        <v>42</v>
      </c>
      <c r="N1294" s="3" t="s">
        <v>43</v>
      </c>
    </row>
    <row r="1295" spans="1:14" x14ac:dyDescent="0.3">
      <c r="A1295" s="36" t="s">
        <v>37</v>
      </c>
      <c r="B1295" s="13">
        <v>115</v>
      </c>
      <c r="C1295" s="48" t="str">
        <f t="shared" si="47"/>
        <v>P.L. 115-391</v>
      </c>
      <c r="D1295" s="3" t="s">
        <v>2432</v>
      </c>
      <c r="E1295" s="3" t="s">
        <v>2442</v>
      </c>
      <c r="F1295" s="3" t="s">
        <v>2443</v>
      </c>
      <c r="G1295" s="48" t="str">
        <f>HYPERLINK("https://uscode.house.gov/view.xhtml?req=granuleid:USC-prelim-title34-section60521&amp;num=0&amp;edition=prelim", "34 U.S.C. 60521(f)(1)")</f>
        <v>34 U.S.C. 60521(f)(1)</v>
      </c>
      <c r="H1295" s="46">
        <v>45199</v>
      </c>
      <c r="I1295" s="13">
        <v>2023</v>
      </c>
      <c r="J1295" s="47">
        <v>15000000</v>
      </c>
      <c r="K1295" s="16" t="s">
        <v>62</v>
      </c>
      <c r="L1295" s="3" t="s">
        <v>41</v>
      </c>
      <c r="M1295" s="3" t="s">
        <v>42</v>
      </c>
      <c r="N1295" s="3" t="s">
        <v>43</v>
      </c>
    </row>
    <row r="1296" spans="1:14" x14ac:dyDescent="0.3">
      <c r="A1296" s="36" t="s">
        <v>37</v>
      </c>
      <c r="B1296" s="13">
        <v>115</v>
      </c>
      <c r="C1296" s="48" t="str">
        <f t="shared" si="47"/>
        <v>P.L. 115-391</v>
      </c>
      <c r="D1296" s="3" t="s">
        <v>2432</v>
      </c>
      <c r="E1296" s="3" t="s">
        <v>2444</v>
      </c>
      <c r="F1296" s="3" t="s">
        <v>2445</v>
      </c>
      <c r="G1296" s="48" t="str">
        <f>HYPERLINK("https://uscode.house.gov/view.xhtml?req=granuleid:USC-prelim-title34-section60531&amp;num=0&amp;edition=prelim", "34 U.S.C. 60531(f)")</f>
        <v>34 U.S.C. 60531(f)</v>
      </c>
      <c r="H1296" s="46">
        <v>45199</v>
      </c>
      <c r="I1296" s="13">
        <v>2023</v>
      </c>
      <c r="J1296" s="47">
        <v>15000000</v>
      </c>
      <c r="K1296" s="16" t="s">
        <v>62</v>
      </c>
      <c r="L1296" s="3" t="s">
        <v>41</v>
      </c>
      <c r="M1296" s="3" t="s">
        <v>42</v>
      </c>
      <c r="N1296" s="3" t="s">
        <v>43</v>
      </c>
    </row>
    <row r="1297" spans="1:14" x14ac:dyDescent="0.3">
      <c r="A1297" s="36" t="s">
        <v>37</v>
      </c>
      <c r="B1297" s="13">
        <v>115</v>
      </c>
      <c r="C1297" s="48" t="str">
        <f t="shared" si="47"/>
        <v>P.L. 115-391</v>
      </c>
      <c r="D1297" s="3" t="s">
        <v>2432</v>
      </c>
      <c r="E1297" s="3" t="s">
        <v>2446</v>
      </c>
      <c r="F1297" s="3" t="s">
        <v>2447</v>
      </c>
      <c r="G1297" s="48" t="str">
        <f>HYPERLINK("https://uscode.house.gov/view.xhtml?req=granuleid:USC-prelim-title34-section60541&amp;num=0&amp;edition=prelim", "34 U.S.C. 60541(h)")</f>
        <v>34 U.S.C. 60541(h)</v>
      </c>
      <c r="H1297" s="46">
        <v>45199</v>
      </c>
      <c r="I1297" s="13">
        <v>2023</v>
      </c>
      <c r="J1297" s="47">
        <v>5000000</v>
      </c>
      <c r="K1297" s="16" t="s">
        <v>62</v>
      </c>
      <c r="L1297" s="3" t="s">
        <v>41</v>
      </c>
      <c r="M1297" s="3" t="s">
        <v>42</v>
      </c>
      <c r="N1297" s="3" t="s">
        <v>43</v>
      </c>
    </row>
    <row r="1298" spans="1:14" x14ac:dyDescent="0.3">
      <c r="A1298" s="36" t="s">
        <v>37</v>
      </c>
      <c r="B1298" s="13">
        <v>115</v>
      </c>
      <c r="C1298" s="48" t="str">
        <f t="shared" si="47"/>
        <v>P.L. 115-391</v>
      </c>
      <c r="D1298" s="3" t="s">
        <v>2432</v>
      </c>
      <c r="E1298" s="3" t="s">
        <v>2448</v>
      </c>
      <c r="F1298" s="3" t="s">
        <v>2449</v>
      </c>
      <c r="G1298" s="48" t="str">
        <f>HYPERLINK("https://uscode.house.gov/view.xhtml?req=granuleid:USC-prelim-title34-section60511&amp;num=0&amp;edition=prelim", "34 U.S.C. 60511(f)")</f>
        <v>34 U.S.C. 60511(f)</v>
      </c>
      <c r="H1298" s="46">
        <v>45199</v>
      </c>
      <c r="I1298" s="13">
        <v>2023</v>
      </c>
      <c r="J1298" s="47">
        <v>10000000</v>
      </c>
      <c r="K1298" s="16" t="s">
        <v>62</v>
      </c>
      <c r="L1298" s="3" t="s">
        <v>41</v>
      </c>
      <c r="M1298" s="3" t="s">
        <v>42</v>
      </c>
      <c r="N1298" s="3" t="s">
        <v>43</v>
      </c>
    </row>
    <row r="1299" spans="1:14" x14ac:dyDescent="0.3">
      <c r="A1299" s="36" t="s">
        <v>37</v>
      </c>
      <c r="B1299" s="13">
        <v>115</v>
      </c>
      <c r="C1299" s="48" t="str">
        <f>HYPERLINK("https://uscode.house.gov/statutes/pl/115/393.pdf", "P.L. 115-393")</f>
        <v>P.L. 115-393</v>
      </c>
      <c r="D1299" s="3" t="s">
        <v>2450</v>
      </c>
      <c r="E1299" s="3" t="s">
        <v>2451</v>
      </c>
      <c r="F1299" s="3" t="s">
        <v>2452</v>
      </c>
      <c r="G1299" s="48" t="str">
        <f>HYPERLINK("https://uscode.house.gov/view.xhtml?req=granuleid:USC-prelim-title34-section20701&amp;num=0&amp;edition=prelim", "34 U.S.C. 20701(c)(2)")</f>
        <v>34 U.S.C. 20701(c)(2)</v>
      </c>
      <c r="H1299" s="46">
        <v>44469</v>
      </c>
      <c r="I1299" s="13">
        <v>2021</v>
      </c>
      <c r="J1299" s="47">
        <v>250000</v>
      </c>
      <c r="K1299" s="16" t="s">
        <v>62</v>
      </c>
      <c r="L1299" s="3" t="s">
        <v>41</v>
      </c>
      <c r="M1299" s="3" t="s">
        <v>42</v>
      </c>
      <c r="N1299" s="3" t="s">
        <v>43</v>
      </c>
    </row>
    <row r="1300" spans="1:14" x14ac:dyDescent="0.3">
      <c r="A1300" s="36" t="s">
        <v>37</v>
      </c>
      <c r="B1300" s="13">
        <v>115</v>
      </c>
      <c r="C1300" s="48" t="str">
        <f>HYPERLINK("https://uscode.house.gov/statutes/pl/115/393.pdf", "P.L. 115-393")</f>
        <v>P.L. 115-393</v>
      </c>
      <c r="D1300" s="3" t="s">
        <v>2450</v>
      </c>
      <c r="E1300" s="3" t="s">
        <v>2453</v>
      </c>
      <c r="F1300" s="3" t="s">
        <v>2454</v>
      </c>
      <c r="G1300" s="48" t="str">
        <f>HYPERLINK("https://uscode.house.gov/view.xhtml?req=granuleid:USC-prelim-title34-section20705&amp;num=0&amp;edition=prelim", "34 U.S.C. 20705(e)")</f>
        <v>34 U.S.C. 20705(e)</v>
      </c>
      <c r="H1300" s="46">
        <v>44469</v>
      </c>
      <c r="I1300" s="13">
        <v>2021</v>
      </c>
      <c r="J1300" s="47">
        <v>10000000</v>
      </c>
      <c r="K1300" s="16" t="s">
        <v>62</v>
      </c>
      <c r="L1300" s="3" t="s">
        <v>41</v>
      </c>
      <c r="M1300" s="3" t="s">
        <v>42</v>
      </c>
      <c r="N1300" s="3" t="s">
        <v>43</v>
      </c>
    </row>
    <row r="1301" spans="1:14" x14ac:dyDescent="0.3">
      <c r="A1301" s="36" t="s">
        <v>37</v>
      </c>
      <c r="B1301" s="13">
        <v>115</v>
      </c>
      <c r="C1301" s="48" t="str">
        <f>HYPERLINK("https://uscode.house.gov/statutes/pl/115/393.pdf", "P.L. 115-393")</f>
        <v>P.L. 115-393</v>
      </c>
      <c r="D1301" s="3" t="s">
        <v>2450</v>
      </c>
      <c r="E1301" s="3" t="s">
        <v>2455</v>
      </c>
      <c r="F1301" s="3" t="s">
        <v>2456</v>
      </c>
      <c r="G1301" s="48" t="str">
        <f>HYPERLINK("https://uscode.house.gov/view.xhtml?req=granuleid:USC-prelim-title8-section1232&amp;num=0&amp;edition=prelim", "8 U.S.C. 1232(c)(6)")</f>
        <v>8 U.S.C. 1232(c)(6)</v>
      </c>
      <c r="H1301" s="46">
        <v>44469</v>
      </c>
      <c r="I1301" s="13">
        <v>2021</v>
      </c>
      <c r="J1301" s="47">
        <v>2000000</v>
      </c>
      <c r="K1301" s="16" t="s">
        <v>62</v>
      </c>
      <c r="L1301" s="3" t="s">
        <v>60</v>
      </c>
      <c r="M1301" s="3" t="s">
        <v>71</v>
      </c>
      <c r="N1301" s="3" t="s">
        <v>72</v>
      </c>
    </row>
    <row r="1302" spans="1:14" x14ac:dyDescent="0.3">
      <c r="A1302" s="36" t="s">
        <v>37</v>
      </c>
      <c r="B1302" s="13">
        <v>115</v>
      </c>
      <c r="C1302" s="48" t="str">
        <f>HYPERLINK("https://uscode.house.gov/statutes/pl/115/393.pdf", "P.L. 115-393")</f>
        <v>P.L. 115-393</v>
      </c>
      <c r="D1302" s="3" t="s">
        <v>2450</v>
      </c>
      <c r="E1302" s="3" t="s">
        <v>2457</v>
      </c>
      <c r="F1302" s="3" t="s">
        <v>2458</v>
      </c>
      <c r="G1302" s="48" t="str">
        <f>HYPERLINK("https://uscode.house.gov/view.xhtml?req=granuleid:USC-prelim-title34-section20702&amp;num=0&amp;edition=prelim", "34 U.S.C. 20702(i)")</f>
        <v>34 U.S.C. 20702(i)</v>
      </c>
      <c r="H1302" s="46">
        <v>44469</v>
      </c>
      <c r="I1302" s="13">
        <v>2021</v>
      </c>
      <c r="J1302" s="47">
        <v>8000000</v>
      </c>
      <c r="K1302" s="47">
        <v>95000000</v>
      </c>
      <c r="L1302" s="3" t="s">
        <v>60</v>
      </c>
      <c r="M1302" s="3" t="s">
        <v>71</v>
      </c>
      <c r="N1302" s="3" t="s">
        <v>43</v>
      </c>
    </row>
    <row r="1303" spans="1:14" x14ac:dyDescent="0.3">
      <c r="A1303" s="36" t="s">
        <v>37</v>
      </c>
      <c r="B1303" s="13">
        <v>115</v>
      </c>
      <c r="C1303" s="48" t="str">
        <f>HYPERLINK("https://uscode.house.gov/statutes/pl/115/393.pdf", "P.L. 115-393")</f>
        <v>P.L. 115-393</v>
      </c>
      <c r="D1303" s="3" t="s">
        <v>2450</v>
      </c>
      <c r="E1303" s="3" t="s">
        <v>2459</v>
      </c>
      <c r="F1303" s="3" t="s">
        <v>2460</v>
      </c>
      <c r="G1303" s="48" t="str">
        <f>HYPERLINK("https://uscode.house.gov/view.xhtml?req=granuleid:USC-prelim-title22-section7110&amp;num=0&amp;edition=prelim", "22 U.S.C. 7110(d)")</f>
        <v>22 U.S.C. 7110(d)</v>
      </c>
      <c r="H1303" s="46">
        <v>44469</v>
      </c>
      <c r="I1303" s="13">
        <v>2021</v>
      </c>
      <c r="J1303" s="47">
        <v>77000000</v>
      </c>
      <c r="K1303" s="47">
        <v>95000000</v>
      </c>
      <c r="L1303" s="3" t="s">
        <v>41</v>
      </c>
      <c r="M1303" s="3" t="s">
        <v>42</v>
      </c>
      <c r="N1303" s="3" t="s">
        <v>43</v>
      </c>
    </row>
    <row r="1304" spans="1:14" x14ac:dyDescent="0.3">
      <c r="A1304" s="36" t="s">
        <v>37</v>
      </c>
      <c r="B1304" s="13">
        <v>115</v>
      </c>
      <c r="C1304" s="48" t="str">
        <f>HYPERLINK("https://uscode.house.gov/statutes/pl/115/398.pdf", "P.L. 115-398")</f>
        <v>P.L. 115-398</v>
      </c>
      <c r="D1304" s="3" t="s">
        <v>2461</v>
      </c>
      <c r="F1304" s="3" t="s">
        <v>2462</v>
      </c>
      <c r="G1304" s="48" t="str">
        <f>HYPERLINK("https://uscode.house.gov/view.xhtml?req=granuleid:USC-prelim-title42-section300d-51&amp;num=0&amp;edition=prelim", "42 U.S.C. 300d-51")</f>
        <v>42 U.S.C. 300d-51</v>
      </c>
      <c r="H1304" s="46">
        <v>45565</v>
      </c>
      <c r="I1304" s="13">
        <v>2024</v>
      </c>
      <c r="J1304" s="47">
        <v>4000000</v>
      </c>
      <c r="K1304" s="16" t="s">
        <v>62</v>
      </c>
      <c r="L1304" s="3" t="s">
        <v>60</v>
      </c>
      <c r="M1304" s="3" t="s">
        <v>71</v>
      </c>
      <c r="N1304" s="3" t="s">
        <v>72</v>
      </c>
    </row>
    <row r="1305" spans="1:14" x14ac:dyDescent="0.3">
      <c r="A1305" s="36" t="s">
        <v>37</v>
      </c>
      <c r="B1305" s="13">
        <v>115</v>
      </c>
      <c r="C1305" s="48" t="str">
        <f>HYPERLINK("https://uscode.house.gov/statutes/pl/115/401.pdf", "P.L. 115-401")</f>
        <v>P.L. 115-401</v>
      </c>
      <c r="D1305" s="3" t="s">
        <v>2463</v>
      </c>
      <c r="E1305" s="3" t="s">
        <v>222</v>
      </c>
      <c r="F1305" s="3" t="s">
        <v>2464</v>
      </c>
      <c r="G1305" s="48" t="str">
        <f>HYPERLINK("https://uscode.house.gov/view.xhtml?req=granuleid:USC-prelim-title34-section21907&amp;num=0&amp;edition=prelim", "34 U.S.C. 21907")</f>
        <v>34 U.S.C. 21907</v>
      </c>
      <c r="H1305" s="46">
        <v>44834</v>
      </c>
      <c r="I1305" s="13">
        <v>2022</v>
      </c>
      <c r="J1305" s="47">
        <v>3000000</v>
      </c>
      <c r="K1305" s="47">
        <v>1000000</v>
      </c>
      <c r="L1305" s="3" t="s">
        <v>41</v>
      </c>
      <c r="M1305" s="3" t="s">
        <v>42</v>
      </c>
      <c r="N1305" s="3" t="s">
        <v>43</v>
      </c>
    </row>
    <row r="1306" spans="1:14" x14ac:dyDescent="0.3">
      <c r="A1306" s="36" t="s">
        <v>37</v>
      </c>
      <c r="B1306" s="13">
        <v>115</v>
      </c>
      <c r="C1306" s="48" t="str">
        <f>HYPERLINK("https://uscode.house.gov/statutes/pl/115/406.pdf", "P.L. 115-406")</f>
        <v>P.L. 115-406</v>
      </c>
      <c r="D1306" s="3" t="s">
        <v>2465</v>
      </c>
      <c r="F1306" s="3" t="s">
        <v>2466</v>
      </c>
      <c r="G1306" s="48" t="str">
        <f>HYPERLINK("https://uscode.house.gov/view.xhtml?req=granuleid:USC-prelim-title42-section280c-5&amp;num=0&amp;edition=prelim", "42 U.S.C. 280c-5(e)")</f>
        <v>42 U.S.C. 280c-5(e)</v>
      </c>
      <c r="H1306" s="46">
        <v>45565</v>
      </c>
      <c r="I1306" s="13">
        <v>2024</v>
      </c>
      <c r="J1306" s="47">
        <v>20000000</v>
      </c>
      <c r="K1306" s="16" t="s">
        <v>62</v>
      </c>
      <c r="L1306" s="3" t="s">
        <v>60</v>
      </c>
      <c r="M1306" s="3" t="s">
        <v>71</v>
      </c>
      <c r="N1306" s="3" t="s">
        <v>72</v>
      </c>
    </row>
    <row r="1307" spans="1:14" x14ac:dyDescent="0.3">
      <c r="A1307" s="36" t="s">
        <v>37</v>
      </c>
      <c r="B1307" s="13">
        <v>115</v>
      </c>
      <c r="C1307" s="48" t="str">
        <f t="shared" ref="C1307:C1312" si="48">HYPERLINK("https://uscode.house.gov/statutes/pl/115/409.pdf", "P.L. 115-409")</f>
        <v>P.L. 115-409</v>
      </c>
      <c r="D1307" s="3" t="s">
        <v>2467</v>
      </c>
      <c r="E1307" s="3" t="s">
        <v>1760</v>
      </c>
      <c r="F1307" s="3" t="s">
        <v>2468</v>
      </c>
      <c r="G1307" s="49"/>
      <c r="H1307" s="46">
        <v>45199</v>
      </c>
      <c r="I1307" s="13">
        <v>2023</v>
      </c>
      <c r="J1307" s="47">
        <v>1500000000</v>
      </c>
      <c r="K1307" s="16" t="s">
        <v>62</v>
      </c>
      <c r="L1307" s="3" t="s">
        <v>80</v>
      </c>
      <c r="M1307" s="3" t="s">
        <v>81</v>
      </c>
      <c r="N1307" s="3" t="s">
        <v>82</v>
      </c>
    </row>
    <row r="1308" spans="1:14" x14ac:dyDescent="0.3">
      <c r="A1308" s="36" t="s">
        <v>37</v>
      </c>
      <c r="B1308" s="13">
        <v>115</v>
      </c>
      <c r="C1308" s="48" t="str">
        <f t="shared" si="48"/>
        <v>P.L. 115-409</v>
      </c>
      <c r="D1308" s="3" t="s">
        <v>2467</v>
      </c>
      <c r="E1308" s="3" t="s">
        <v>2469</v>
      </c>
      <c r="F1308" s="3" t="s">
        <v>2470</v>
      </c>
      <c r="G1308" s="49"/>
      <c r="H1308" s="46">
        <v>45199</v>
      </c>
      <c r="I1308" s="13">
        <v>2023</v>
      </c>
      <c r="J1308" s="47">
        <v>210000000</v>
      </c>
      <c r="K1308" s="16" t="s">
        <v>62</v>
      </c>
      <c r="L1308" s="3" t="s">
        <v>80</v>
      </c>
      <c r="M1308" s="3" t="s">
        <v>81</v>
      </c>
      <c r="N1308" s="3" t="s">
        <v>82</v>
      </c>
    </row>
    <row r="1309" spans="1:14" x14ac:dyDescent="0.3">
      <c r="A1309" s="36" t="s">
        <v>37</v>
      </c>
      <c r="B1309" s="13">
        <v>115</v>
      </c>
      <c r="C1309" s="48" t="str">
        <f t="shared" si="48"/>
        <v>P.L. 115-409</v>
      </c>
      <c r="D1309" s="3" t="s">
        <v>2467</v>
      </c>
      <c r="E1309" s="3" t="s">
        <v>2471</v>
      </c>
      <c r="F1309" s="3" t="s">
        <v>2472</v>
      </c>
      <c r="G1309" s="49"/>
      <c r="H1309" s="46">
        <v>45199</v>
      </c>
      <c r="I1309" s="13">
        <v>2023</v>
      </c>
      <c r="J1309" s="47">
        <v>1000000</v>
      </c>
      <c r="K1309" s="16" t="s">
        <v>62</v>
      </c>
      <c r="L1309" s="3" t="s">
        <v>80</v>
      </c>
      <c r="M1309" s="3" t="s">
        <v>81</v>
      </c>
      <c r="N1309" s="3" t="s">
        <v>82</v>
      </c>
    </row>
    <row r="1310" spans="1:14" x14ac:dyDescent="0.3">
      <c r="A1310" s="36" t="s">
        <v>37</v>
      </c>
      <c r="B1310" s="13">
        <v>115</v>
      </c>
      <c r="C1310" s="48" t="str">
        <f t="shared" si="48"/>
        <v>P.L. 115-409</v>
      </c>
      <c r="D1310" s="3" t="s">
        <v>2467</v>
      </c>
      <c r="E1310" s="3" t="s">
        <v>371</v>
      </c>
      <c r="F1310" s="3" t="s">
        <v>2473</v>
      </c>
      <c r="G1310" s="49"/>
      <c r="H1310" s="46">
        <v>45199</v>
      </c>
      <c r="I1310" s="13">
        <v>2023</v>
      </c>
      <c r="J1310" s="47">
        <v>25000000</v>
      </c>
      <c r="K1310" s="16" t="s">
        <v>62</v>
      </c>
      <c r="L1310" s="3" t="s">
        <v>80</v>
      </c>
      <c r="M1310" s="3" t="s">
        <v>81</v>
      </c>
      <c r="N1310" s="3" t="s">
        <v>82</v>
      </c>
    </row>
    <row r="1311" spans="1:14" x14ac:dyDescent="0.3">
      <c r="A1311" s="36" t="s">
        <v>37</v>
      </c>
      <c r="B1311" s="13">
        <v>115</v>
      </c>
      <c r="C1311" s="48" t="str">
        <f t="shared" si="48"/>
        <v>P.L. 115-409</v>
      </c>
      <c r="D1311" s="3" t="s">
        <v>2467</v>
      </c>
      <c r="F1311" s="3" t="s">
        <v>2474</v>
      </c>
      <c r="G1311" s="49"/>
      <c r="H1311" s="46">
        <v>45199</v>
      </c>
      <c r="I1311" s="13">
        <v>2023</v>
      </c>
      <c r="J1311" s="47">
        <v>1000000</v>
      </c>
      <c r="K1311" s="16" t="s">
        <v>62</v>
      </c>
      <c r="L1311" s="3" t="s">
        <v>80</v>
      </c>
      <c r="M1311" s="3" t="s">
        <v>81</v>
      </c>
      <c r="N1311" s="3" t="s">
        <v>82</v>
      </c>
    </row>
    <row r="1312" spans="1:14" x14ac:dyDescent="0.3">
      <c r="A1312" s="36" t="s">
        <v>37</v>
      </c>
      <c r="B1312" s="13">
        <v>115</v>
      </c>
      <c r="C1312" s="48" t="str">
        <f t="shared" si="48"/>
        <v>P.L. 115-409</v>
      </c>
      <c r="D1312" s="3" t="s">
        <v>2467</v>
      </c>
      <c r="F1312" s="3" t="s">
        <v>2475</v>
      </c>
      <c r="G1312" s="49"/>
      <c r="H1312" s="46">
        <v>45199</v>
      </c>
      <c r="I1312" s="13">
        <v>2023</v>
      </c>
      <c r="J1312" s="47">
        <v>100000000</v>
      </c>
      <c r="K1312" s="16" t="s">
        <v>62</v>
      </c>
      <c r="L1312" s="3" t="s">
        <v>80</v>
      </c>
      <c r="M1312" s="3" t="s">
        <v>81</v>
      </c>
      <c r="N1312" s="3" t="s">
        <v>82</v>
      </c>
    </row>
    <row r="1313" spans="1:14" x14ac:dyDescent="0.3">
      <c r="A1313" s="36" t="s">
        <v>37</v>
      </c>
      <c r="B1313" s="13">
        <v>115</v>
      </c>
      <c r="C1313" s="48" t="str">
        <f>HYPERLINK("https://uscode.house.gov/statutes/pl/115/224.pdf", "P.L. 115-224")</f>
        <v>P.L. 115-224</v>
      </c>
      <c r="D1313" s="3" t="s">
        <v>2001</v>
      </c>
      <c r="E1313" s="3" t="s">
        <v>105</v>
      </c>
      <c r="F1313" s="3" t="s">
        <v>2002</v>
      </c>
      <c r="G1313" s="48" t="str">
        <f>HYPERLINK("https://uscode.house.gov/view.xhtml?req=granuleid:USC-prelim-title20-section2301&amp;num=0&amp;edition=prelim", "20 U.S.C. 2301")</f>
        <v>20 U.S.C. 2301</v>
      </c>
      <c r="H1313" s="46">
        <v>45565</v>
      </c>
      <c r="I1313" s="13">
        <v>2024</v>
      </c>
      <c r="J1313" s="47">
        <v>1318082000</v>
      </c>
      <c r="K1313" s="16" t="s">
        <v>62</v>
      </c>
      <c r="L1313" s="3" t="s">
        <v>130</v>
      </c>
      <c r="M1313" s="3" t="s">
        <v>71</v>
      </c>
      <c r="N1313" s="3" t="s">
        <v>72</v>
      </c>
    </row>
    <row r="1314" spans="1:14" x14ac:dyDescent="0.3">
      <c r="A1314" s="36" t="s">
        <v>37</v>
      </c>
      <c r="B1314" s="13">
        <v>115</v>
      </c>
      <c r="C1314" s="48" t="str">
        <f>HYPERLINK("https://uscode.house.gov/statutes/pl/115/224.pdf", "P.L. 115-224")</f>
        <v>P.L. 115-224</v>
      </c>
      <c r="D1314" s="3" t="s">
        <v>2001</v>
      </c>
      <c r="E1314" s="3" t="s">
        <v>1583</v>
      </c>
      <c r="F1314" s="3" t="s">
        <v>2003</v>
      </c>
      <c r="G1314" s="48" t="str">
        <f>HYPERLINK("https://uscode.house.gov/view.xhtml?req=granuleid:USC-prelim-title20-section2327&amp;num=0&amp;edition=prelim", "20 U.S.C. 2327(i)")</f>
        <v>20 U.S.C. 2327(i)</v>
      </c>
      <c r="H1314" s="46">
        <v>45565</v>
      </c>
      <c r="I1314" s="13">
        <v>2024</v>
      </c>
      <c r="J1314" s="47">
        <v>8202000</v>
      </c>
      <c r="K1314" s="16" t="s">
        <v>62</v>
      </c>
      <c r="L1314" s="3" t="s">
        <v>130</v>
      </c>
      <c r="M1314" s="3" t="s">
        <v>71</v>
      </c>
      <c r="N1314" s="3" t="s">
        <v>72</v>
      </c>
    </row>
    <row r="1315" spans="1:14" x14ac:dyDescent="0.3">
      <c r="A1315" s="36" t="s">
        <v>37</v>
      </c>
      <c r="B1315" s="13">
        <v>115</v>
      </c>
      <c r="C1315" s="48" t="str">
        <f>HYPERLINK("https://uscode.house.gov/statutes/pl/115/224.pdf", "P.L. 115-224")</f>
        <v>P.L. 115-224</v>
      </c>
      <c r="D1315" s="3" t="s">
        <v>2001</v>
      </c>
      <c r="E1315" s="3" t="s">
        <v>459</v>
      </c>
      <c r="F1315" s="3" t="s">
        <v>2004</v>
      </c>
      <c r="G1315" s="48" t="str">
        <f>HYPERLINK("https://uscode.house.gov/view.xhtml?req=granuleid:USC-prelim-title20-section2327&amp;num=0&amp;edition=prelim", "20 U.S.C. 2327")</f>
        <v>20 U.S.C. 2327</v>
      </c>
      <c r="H1315" s="46">
        <v>45565</v>
      </c>
      <c r="I1315" s="13">
        <v>2024</v>
      </c>
      <c r="J1315" s="47">
        <v>10465000</v>
      </c>
      <c r="K1315" s="16" t="s">
        <v>62</v>
      </c>
      <c r="L1315" s="3" t="s">
        <v>130</v>
      </c>
      <c r="M1315" s="3" t="s">
        <v>71</v>
      </c>
      <c r="N1315" s="3" t="s">
        <v>72</v>
      </c>
    </row>
    <row r="1316" spans="1:14" x14ac:dyDescent="0.3">
      <c r="A1316" s="36" t="s">
        <v>37</v>
      </c>
      <c r="B1316" s="13">
        <v>116</v>
      </c>
      <c r="C1316" s="48" t="str">
        <f>HYPERLINK("https://uscode.house.gov/statutes/pl/116/101.pdf", "P.L. 116-101")</f>
        <v>P.L. 116-101</v>
      </c>
      <c r="D1316" s="3" t="s">
        <v>2621</v>
      </c>
      <c r="E1316" s="3" t="s">
        <v>45</v>
      </c>
      <c r="F1316" s="3" t="s">
        <v>2622</v>
      </c>
      <c r="G1316" s="48" t="str">
        <f>HYPERLINK("https://uscode.house.gov/view.xhtml?req=granuleid:USC-prelim-title42-section2992d&amp;num=0&amp;edition=prelim", "42 U.S.C. 2992d(e)")</f>
        <v>42 U.S.C. 2992d(e)</v>
      </c>
      <c r="H1316" s="46">
        <v>45565</v>
      </c>
      <c r="I1316" s="13">
        <v>2024</v>
      </c>
      <c r="J1316" s="47">
        <v>13000000</v>
      </c>
      <c r="K1316" s="16" t="s">
        <v>62</v>
      </c>
      <c r="L1316" s="3" t="s">
        <v>130</v>
      </c>
      <c r="M1316" s="3" t="s">
        <v>236</v>
      </c>
      <c r="N1316" s="3" t="s">
        <v>72</v>
      </c>
    </row>
    <row r="1317" spans="1:14" x14ac:dyDescent="0.3">
      <c r="A1317" s="36" t="s">
        <v>37</v>
      </c>
      <c r="B1317" s="13">
        <v>115</v>
      </c>
      <c r="C1317" s="48" t="str">
        <f t="shared" ref="C1317:C1323" si="49">HYPERLINK("https://uscode.house.gov/statutes/pl/115/423.pdf", "P.L. 115-423")</f>
        <v>P.L. 115-423</v>
      </c>
      <c r="D1317" s="3" t="s">
        <v>2481</v>
      </c>
      <c r="E1317" s="3" t="s">
        <v>222</v>
      </c>
      <c r="F1317" s="3" t="s">
        <v>2482</v>
      </c>
      <c r="G1317" s="48" t="str">
        <f>HYPERLINK("https://uscode.house.gov/view.xhtml?req=granuleid:USC-prelim-title15-section313d&amp;num=0&amp;edition=prelim", "15 U.S.C. 313d(note)")</f>
        <v>15 U.S.C. 313d(note)</v>
      </c>
      <c r="H1317" s="46">
        <v>45199</v>
      </c>
      <c r="I1317" s="13">
        <v>2023</v>
      </c>
      <c r="J1317" s="47">
        <v>14500000</v>
      </c>
      <c r="K1317" s="16" t="s">
        <v>62</v>
      </c>
      <c r="L1317" s="3" t="s">
        <v>60</v>
      </c>
      <c r="M1317" s="3" t="s">
        <v>148</v>
      </c>
      <c r="N1317" s="3" t="s">
        <v>43</v>
      </c>
    </row>
    <row r="1318" spans="1:14" x14ac:dyDescent="0.3">
      <c r="A1318" s="36" t="s">
        <v>37</v>
      </c>
      <c r="B1318" s="13">
        <v>115</v>
      </c>
      <c r="C1318" s="48" t="str">
        <f t="shared" si="49"/>
        <v>P.L. 115-423</v>
      </c>
      <c r="D1318" s="3" t="s">
        <v>2481</v>
      </c>
      <c r="E1318" s="3" t="s">
        <v>1838</v>
      </c>
      <c r="F1318" s="3" t="s">
        <v>2483</v>
      </c>
      <c r="G1318" s="48" t="str">
        <f>HYPERLINK("https://uscode.house.gov/view.xhtml?req=granuleid:USC-prelim-title15-section8521&amp;num=0&amp;edition=prelim", "15 U.S.C. 8521(j)")</f>
        <v>15 U.S.C. 8521(j)</v>
      </c>
      <c r="H1318" s="46">
        <v>45199</v>
      </c>
      <c r="I1318" s="13">
        <v>2023</v>
      </c>
      <c r="J1318" s="47">
        <v>28500000</v>
      </c>
      <c r="K1318" s="16" t="s">
        <v>62</v>
      </c>
      <c r="L1318" s="3" t="s">
        <v>60</v>
      </c>
      <c r="M1318" s="3" t="s">
        <v>148</v>
      </c>
      <c r="N1318" s="3" t="s">
        <v>43</v>
      </c>
    </row>
    <row r="1319" spans="1:14" x14ac:dyDescent="0.3">
      <c r="A1319" s="36" t="s">
        <v>37</v>
      </c>
      <c r="B1319" s="13">
        <v>115</v>
      </c>
      <c r="C1319" s="48" t="str">
        <f t="shared" si="49"/>
        <v>P.L. 115-423</v>
      </c>
      <c r="D1319" s="3" t="s">
        <v>2481</v>
      </c>
      <c r="E1319" s="3" t="s">
        <v>1840</v>
      </c>
      <c r="F1319" s="3" t="s">
        <v>2484</v>
      </c>
      <c r="G1319" s="48" t="str">
        <f>HYPERLINK("https://uscode.house.gov/view.xhtml?req=granuleid:USC-prelim-title15-section8519&amp;num=0&amp;edition=prelim", "15 U.S.C. 8519")</f>
        <v>15 U.S.C. 8519</v>
      </c>
      <c r="H1319" s="46">
        <v>45199</v>
      </c>
      <c r="I1319" s="13">
        <v>2023</v>
      </c>
      <c r="J1319" s="47">
        <v>91758000</v>
      </c>
      <c r="K1319" s="16" t="s">
        <v>62</v>
      </c>
      <c r="L1319" s="3" t="s">
        <v>135</v>
      </c>
      <c r="M1319" s="3" t="s">
        <v>148</v>
      </c>
      <c r="N1319" s="3" t="s">
        <v>43</v>
      </c>
    </row>
    <row r="1320" spans="1:14" x14ac:dyDescent="0.3">
      <c r="A1320" s="36" t="s">
        <v>37</v>
      </c>
      <c r="B1320" s="13">
        <v>115</v>
      </c>
      <c r="C1320" s="48" t="str">
        <f t="shared" si="49"/>
        <v>P.L. 115-423</v>
      </c>
      <c r="D1320" s="3" t="s">
        <v>2481</v>
      </c>
      <c r="E1320" s="3" t="s">
        <v>1840</v>
      </c>
      <c r="F1320" s="3" t="s">
        <v>2485</v>
      </c>
      <c r="G1320" s="48" t="str">
        <f>HYPERLINK("https://uscode.house.gov/view.xhtml?req=granuleid:USC-prelim-title15-section8519&amp;num=0&amp;edition=prelim", "15 U.S.C. 8519")</f>
        <v>15 U.S.C. 8519</v>
      </c>
      <c r="H1320" s="46">
        <v>45199</v>
      </c>
      <c r="I1320" s="13">
        <v>2023</v>
      </c>
      <c r="J1320" s="47">
        <v>42396000</v>
      </c>
      <c r="K1320" s="16" t="s">
        <v>62</v>
      </c>
      <c r="L1320" s="3" t="s">
        <v>135</v>
      </c>
      <c r="M1320" s="3" t="s">
        <v>148</v>
      </c>
      <c r="N1320" s="3" t="s">
        <v>43</v>
      </c>
    </row>
    <row r="1321" spans="1:14" x14ac:dyDescent="0.3">
      <c r="A1321" s="36" t="s">
        <v>37</v>
      </c>
      <c r="B1321" s="13">
        <v>115</v>
      </c>
      <c r="C1321" s="48" t="str">
        <f t="shared" si="49"/>
        <v>P.L. 115-423</v>
      </c>
      <c r="D1321" s="3" t="s">
        <v>2481</v>
      </c>
      <c r="E1321" s="3" t="s">
        <v>1840</v>
      </c>
      <c r="F1321" s="3" t="s">
        <v>2486</v>
      </c>
      <c r="G1321" s="48" t="str">
        <f>HYPERLINK("https://uscode.house.gov/view.xhtml?req=granuleid:USC-prelim-title15-section8519&amp;num=0&amp;edition=prelim", "15 U.S.C. 8519")</f>
        <v>15 U.S.C. 8519</v>
      </c>
      <c r="H1321" s="46">
        <v>45199</v>
      </c>
      <c r="I1321" s="13">
        <v>2023</v>
      </c>
      <c r="J1321" s="47">
        <v>20000000</v>
      </c>
      <c r="K1321" s="16" t="s">
        <v>62</v>
      </c>
      <c r="L1321" s="3" t="s">
        <v>135</v>
      </c>
      <c r="M1321" s="3" t="s">
        <v>148</v>
      </c>
      <c r="N1321" s="3" t="s">
        <v>43</v>
      </c>
    </row>
    <row r="1322" spans="1:14" x14ac:dyDescent="0.3">
      <c r="A1322" s="36" t="s">
        <v>37</v>
      </c>
      <c r="B1322" s="13">
        <v>115</v>
      </c>
      <c r="C1322" s="48" t="str">
        <f t="shared" si="49"/>
        <v>P.L. 115-423</v>
      </c>
      <c r="D1322" s="3" t="s">
        <v>2481</v>
      </c>
      <c r="E1322" s="3" t="s">
        <v>95</v>
      </c>
      <c r="F1322" s="3" t="s">
        <v>2487</v>
      </c>
      <c r="G1322" s="48" t="str">
        <f>HYPERLINK("https://uscode.house.gov/view.xhtml?req=granuleid:USC-prelim-title15-section8532&amp;num=0&amp;edition=prelim", "15 U.S.C. 8532(c)(3)")</f>
        <v>15 U.S.C. 8532(c)(3)</v>
      </c>
      <c r="H1322" s="46">
        <v>45199</v>
      </c>
      <c r="I1322" s="13">
        <v>2023</v>
      </c>
      <c r="J1322" s="47">
        <v>5000000</v>
      </c>
      <c r="K1322" s="16" t="s">
        <v>62</v>
      </c>
      <c r="L1322" s="3" t="s">
        <v>135</v>
      </c>
      <c r="M1322" s="3" t="s">
        <v>148</v>
      </c>
      <c r="N1322" s="3" t="s">
        <v>43</v>
      </c>
    </row>
    <row r="1323" spans="1:14" x14ac:dyDescent="0.3">
      <c r="A1323" s="36" t="s">
        <v>37</v>
      </c>
      <c r="B1323" s="13">
        <v>115</v>
      </c>
      <c r="C1323" s="48" t="str">
        <f t="shared" si="49"/>
        <v>P.L. 115-423</v>
      </c>
      <c r="D1323" s="3" t="s">
        <v>2481</v>
      </c>
      <c r="E1323" s="3" t="s">
        <v>2488</v>
      </c>
      <c r="F1323" s="3" t="s">
        <v>2489</v>
      </c>
      <c r="G1323" s="48" t="str">
        <f>HYPERLINK("https://uscode.house.gov/view.xhtml?req=granuleid:USC-prelim-title33-section4009&amp;num=0&amp;edition=prelim", "33 U.S.C. 4009(a)")</f>
        <v>33 U.S.C. 4009(a)</v>
      </c>
      <c r="H1323" s="46">
        <v>45199</v>
      </c>
      <c r="I1323" s="13">
        <v>2023</v>
      </c>
      <c r="J1323" s="47">
        <v>20500000</v>
      </c>
      <c r="K1323" s="16" t="s">
        <v>62</v>
      </c>
      <c r="L1323" s="3" t="s">
        <v>135</v>
      </c>
      <c r="M1323" s="3" t="s">
        <v>148</v>
      </c>
      <c r="N1323" s="3" t="s">
        <v>43</v>
      </c>
    </row>
    <row r="1324" spans="1:14" x14ac:dyDescent="0.3">
      <c r="A1324" s="36" t="s">
        <v>37</v>
      </c>
      <c r="B1324" s="13">
        <v>115</v>
      </c>
      <c r="C1324" s="48" t="str">
        <f>HYPERLINK("https://uscode.house.gov/statutes/pl/115/424.pdf", "P.L. 115-424")</f>
        <v>P.L. 115-424</v>
      </c>
      <c r="D1324" s="3" t="s">
        <v>2490</v>
      </c>
      <c r="E1324" s="3" t="s">
        <v>2491</v>
      </c>
      <c r="F1324" s="3" t="s">
        <v>2492</v>
      </c>
      <c r="G1324" s="48" t="str">
        <f>HYPERLINK("https://uscode.house.gov/view.xhtml?req=granuleid:USC-prelim-title34-section20306&amp;num=0&amp;edition=prelim", "34 U.S.C. 20306")</f>
        <v>34 U.S.C. 20306</v>
      </c>
      <c r="H1324" s="46">
        <v>45199</v>
      </c>
      <c r="I1324" s="13">
        <v>2023</v>
      </c>
      <c r="J1324" s="47">
        <v>16000000</v>
      </c>
      <c r="K1324" s="16" t="s">
        <v>62</v>
      </c>
      <c r="L1324" s="3" t="s">
        <v>41</v>
      </c>
      <c r="M1324" s="3" t="s">
        <v>42</v>
      </c>
      <c r="N1324" s="3" t="s">
        <v>72</v>
      </c>
    </row>
    <row r="1325" spans="1:14" x14ac:dyDescent="0.3">
      <c r="A1325" s="36" t="s">
        <v>37</v>
      </c>
      <c r="B1325" s="13">
        <v>115</v>
      </c>
      <c r="C1325" s="48" t="str">
        <f>HYPERLINK("https://uscode.house.gov/statutes/pl/115/424.pdf", "P.L. 115-424")</f>
        <v>P.L. 115-424</v>
      </c>
      <c r="D1325" s="3" t="s">
        <v>2490</v>
      </c>
      <c r="E1325" s="3" t="s">
        <v>2493</v>
      </c>
      <c r="F1325" s="3" t="s">
        <v>2494</v>
      </c>
      <c r="G1325" s="49"/>
      <c r="H1325" s="46">
        <v>45199</v>
      </c>
      <c r="I1325" s="13">
        <v>2023</v>
      </c>
      <c r="J1325" s="47">
        <v>5000000</v>
      </c>
      <c r="K1325" s="16" t="s">
        <v>62</v>
      </c>
      <c r="L1325" s="3" t="s">
        <v>41</v>
      </c>
      <c r="M1325" s="3" t="s">
        <v>42</v>
      </c>
      <c r="N1325" s="3" t="s">
        <v>43</v>
      </c>
    </row>
    <row r="1326" spans="1:14" x14ac:dyDescent="0.3">
      <c r="A1326" s="36" t="s">
        <v>37</v>
      </c>
      <c r="B1326" s="13">
        <v>116</v>
      </c>
      <c r="C1326" s="48" t="str">
        <f>HYPERLINK("https://uscode.house.gov/statutes/pl/116/131.pdf", "P.L. 116-131")</f>
        <v>P.L. 116-131</v>
      </c>
      <c r="D1326" s="3" t="s">
        <v>2638</v>
      </c>
      <c r="E1326" s="3" t="s">
        <v>182</v>
      </c>
      <c r="F1326" s="3" t="s">
        <v>2639</v>
      </c>
      <c r="G1326" s="48" t="str">
        <f>HYPERLINK("https://uscode.house.gov/view.xhtml?req=granuleid:USC-prelim-title42-section3020f&amp;num=0&amp;edition=prelim", "42 U.S.C. 3020f(a)")</f>
        <v>42 U.S.C. 3020f(a)</v>
      </c>
      <c r="H1326" s="46">
        <v>45565</v>
      </c>
      <c r="I1326" s="13">
        <v>2024</v>
      </c>
      <c r="J1326" s="47">
        <v>55470000</v>
      </c>
      <c r="K1326" s="16" t="s">
        <v>62</v>
      </c>
      <c r="L1326" s="3" t="s">
        <v>130</v>
      </c>
      <c r="M1326" s="3" t="s">
        <v>71</v>
      </c>
      <c r="N1326" s="3" t="s">
        <v>72</v>
      </c>
    </row>
    <row r="1327" spans="1:14" x14ac:dyDescent="0.3">
      <c r="A1327" s="36" t="s">
        <v>37</v>
      </c>
      <c r="B1327" s="13">
        <v>115</v>
      </c>
      <c r="C1327" s="48" t="str">
        <f>HYPERLINK("https://uscode.house.gov/statutes/pl/115/425.pdf", "P.L. 115-425")</f>
        <v>P.L. 115-425</v>
      </c>
      <c r="D1327" s="3" t="s">
        <v>2495</v>
      </c>
      <c r="E1327" s="3" t="s">
        <v>2457</v>
      </c>
      <c r="F1327" s="3" t="s">
        <v>2498</v>
      </c>
      <c r="G1327" s="48" t="str">
        <f>HYPERLINK("https://uscode.house.gov/view.xhtml?req=granuleid:USC-prelim-title22-section7110&amp;num=0&amp;edition=prelim", "22 U.S.C. 7110(c)(1)")</f>
        <v>22 U.S.C. 7110(c)(1)</v>
      </c>
      <c r="H1327" s="46">
        <v>44469</v>
      </c>
      <c r="I1327" s="13">
        <v>2021</v>
      </c>
      <c r="J1327" s="47">
        <v>65000000</v>
      </c>
      <c r="K1327" s="16" t="s">
        <v>62</v>
      </c>
      <c r="L1327" s="3" t="s">
        <v>80</v>
      </c>
      <c r="M1327" s="3" t="s">
        <v>81</v>
      </c>
      <c r="N1327" s="3" t="s">
        <v>82</v>
      </c>
    </row>
    <row r="1328" spans="1:14" x14ac:dyDescent="0.3">
      <c r="A1328" s="36" t="s">
        <v>37</v>
      </c>
      <c r="B1328" s="13">
        <v>115</v>
      </c>
      <c r="C1328" s="48" t="str">
        <f>HYPERLINK("https://uscode.house.gov/statutes/pl/115/425.pdf", "P.L. 115-425")</f>
        <v>P.L. 115-425</v>
      </c>
      <c r="D1328" s="3" t="s">
        <v>2495</v>
      </c>
      <c r="E1328" s="3" t="s">
        <v>95</v>
      </c>
      <c r="F1328" s="3" t="s">
        <v>2499</v>
      </c>
      <c r="G1328" s="48" t="str">
        <f>HYPERLINK("https://uscode.house.gov/view.xhtml?req=granuleid:USC-prelim-title34-section21509&amp;num=0&amp;edition=prelim", "34 U.S.C. 21509")</f>
        <v>34 U.S.C. 21509</v>
      </c>
      <c r="H1328" s="46">
        <v>44469</v>
      </c>
      <c r="I1328" s="13">
        <v>2021</v>
      </c>
      <c r="J1328" s="47">
        <v>6000000</v>
      </c>
      <c r="K1328" s="16" t="s">
        <v>62</v>
      </c>
      <c r="L1328" s="3" t="s">
        <v>80</v>
      </c>
      <c r="M1328" s="3" t="s">
        <v>81</v>
      </c>
      <c r="N1328" s="3" t="s">
        <v>122</v>
      </c>
    </row>
    <row r="1329" spans="1:14" x14ac:dyDescent="0.3">
      <c r="A1329" s="36" t="s">
        <v>37</v>
      </c>
      <c r="B1329" s="13">
        <v>115</v>
      </c>
      <c r="C1329" s="48" t="str">
        <f>HYPERLINK("https://uscode.house.gov/statutes/pl/115/425.pdf", "P.L. 115-425")</f>
        <v>P.L. 115-425</v>
      </c>
      <c r="D1329" s="3" t="s">
        <v>2495</v>
      </c>
      <c r="E1329" s="3" t="s">
        <v>2500</v>
      </c>
      <c r="F1329" s="3" t="s">
        <v>2501</v>
      </c>
      <c r="G1329" s="48" t="str">
        <f>HYPERLINK("https://uscode.house.gov/view.xhtml?req=granuleid:USC-prelim-title22-section7110&amp;num=0&amp;edition=prelim", "22 U.S.C. 7110(a)")</f>
        <v>22 U.S.C. 7110(a)</v>
      </c>
      <c r="H1329" s="46">
        <v>44469</v>
      </c>
      <c r="I1329" s="13">
        <v>2021</v>
      </c>
      <c r="J1329" s="47">
        <v>13822000</v>
      </c>
      <c r="K1329" s="47">
        <v>80500000</v>
      </c>
      <c r="L1329" s="3" t="s">
        <v>80</v>
      </c>
      <c r="M1329" s="3" t="s">
        <v>81</v>
      </c>
      <c r="N1329" s="3" t="s">
        <v>82</v>
      </c>
    </row>
    <row r="1330" spans="1:14" x14ac:dyDescent="0.3">
      <c r="A1330" s="36" t="s">
        <v>37</v>
      </c>
      <c r="B1330" s="13">
        <v>115</v>
      </c>
      <c r="C1330" s="48" t="str">
        <f>HYPERLINK("https://uscode.house.gov/statutes/pl/115/439.pdf", "P.L. 115-439")</f>
        <v>P.L. 115-439</v>
      </c>
      <c r="D1330" s="3" t="s">
        <v>2502</v>
      </c>
      <c r="F1330" s="3" t="s">
        <v>2503</v>
      </c>
      <c r="G1330" s="49"/>
      <c r="H1330" s="46">
        <v>45565</v>
      </c>
      <c r="I1330" s="13">
        <v>2024</v>
      </c>
      <c r="J1330" s="47">
        <v>14420000</v>
      </c>
      <c r="K1330" s="16" t="s">
        <v>62</v>
      </c>
      <c r="L1330" s="3" t="s">
        <v>60</v>
      </c>
      <c r="M1330" s="3" t="s">
        <v>67</v>
      </c>
      <c r="N1330" s="3" t="s">
        <v>58</v>
      </c>
    </row>
    <row r="1331" spans="1:14" x14ac:dyDescent="0.3">
      <c r="A1331" s="36" t="s">
        <v>37</v>
      </c>
      <c r="B1331" s="13">
        <v>115</v>
      </c>
      <c r="C1331" s="48" t="str">
        <f>HYPERLINK("https://uscode.house.gov/statutes/pl/115/440.pdf", "P.L. 115-440")</f>
        <v>P.L. 115-440</v>
      </c>
      <c r="D1331" s="3" t="s">
        <v>2504</v>
      </c>
      <c r="E1331" s="3" t="s">
        <v>141</v>
      </c>
      <c r="F1331" s="3" t="s">
        <v>2505</v>
      </c>
      <c r="G1331" s="48" t="str">
        <f>HYPERLINK("https://uscode.house.gov/view.xhtml?req=granuleid:USC-prelim-title22-section2431d&amp;num=0&amp;edition=prelim", "22 U.S.C. 2431d(a)(2)")</f>
        <v>22 U.S.C. 2431d(a)(2)</v>
      </c>
      <c r="H1331" s="46">
        <v>44104</v>
      </c>
      <c r="I1331" s="13">
        <v>2020</v>
      </c>
      <c r="J1331" s="47">
        <v>20000000</v>
      </c>
      <c r="K1331" s="16" t="s">
        <v>62</v>
      </c>
      <c r="L1331" s="3" t="s">
        <v>80</v>
      </c>
      <c r="M1331" s="3" t="s">
        <v>81</v>
      </c>
      <c r="N1331" s="3" t="s">
        <v>49</v>
      </c>
    </row>
    <row r="1332" spans="1:14" x14ac:dyDescent="0.3">
      <c r="A1332" s="36" t="s">
        <v>37</v>
      </c>
      <c r="B1332" s="13">
        <v>116</v>
      </c>
      <c r="C1332" s="48" t="str">
        <f>HYPERLINK("https://uscode.house.gov/statutes/pl/116/5.pdf", "P.L. 116-5")</f>
        <v>P.L. 116-5</v>
      </c>
      <c r="D1332" s="3" t="s">
        <v>2506</v>
      </c>
      <c r="E1332" s="3" t="s">
        <v>2507</v>
      </c>
      <c r="F1332" s="3" t="s">
        <v>2508</v>
      </c>
      <c r="G1332" s="49"/>
      <c r="H1332" s="46">
        <v>43511</v>
      </c>
      <c r="I1332" s="13">
        <v>2019</v>
      </c>
      <c r="J1332" s="47">
        <v>1000000</v>
      </c>
      <c r="K1332" s="47">
        <v>1000000</v>
      </c>
      <c r="L1332" s="3" t="s">
        <v>41</v>
      </c>
      <c r="M1332" s="3" t="s">
        <v>42</v>
      </c>
      <c r="N1332" s="3" t="s">
        <v>43</v>
      </c>
    </row>
    <row r="1333" spans="1:14" x14ac:dyDescent="0.3">
      <c r="A1333" s="36" t="s">
        <v>37</v>
      </c>
      <c r="B1333" s="13">
        <v>116</v>
      </c>
      <c r="C1333" s="48" t="str">
        <f>HYPERLINK("https://uscode.house.gov/statutes/pl/116/5.pdf", "P.L. 116-5")</f>
        <v>P.L. 116-5</v>
      </c>
      <c r="D1333" s="3" t="s">
        <v>2506</v>
      </c>
      <c r="E1333" s="3" t="s">
        <v>2509</v>
      </c>
      <c r="F1333" s="3" t="s">
        <v>2510</v>
      </c>
      <c r="G1333" s="49"/>
      <c r="H1333" s="46">
        <v>43511</v>
      </c>
      <c r="I1333" s="13">
        <v>2019</v>
      </c>
      <c r="J1333" s="47">
        <v>1000000</v>
      </c>
      <c r="K1333" s="47">
        <v>500000</v>
      </c>
      <c r="L1333" s="3" t="s">
        <v>41</v>
      </c>
      <c r="M1333" s="3" t="s">
        <v>42</v>
      </c>
      <c r="N1333" s="3" t="s">
        <v>43</v>
      </c>
    </row>
    <row r="1334" spans="1:14" x14ac:dyDescent="0.3">
      <c r="A1334" s="36" t="s">
        <v>37</v>
      </c>
      <c r="B1334" s="13">
        <v>116</v>
      </c>
      <c r="C1334" s="48" t="str">
        <f>HYPERLINK("https://uscode.house.gov/statutes/pl/116/5.pdf", "P.L. 116-5")</f>
        <v>P.L. 116-5</v>
      </c>
      <c r="D1334" s="3" t="s">
        <v>2506</v>
      </c>
      <c r="E1334" s="3" t="s">
        <v>2511</v>
      </c>
      <c r="F1334" s="3" t="s">
        <v>2512</v>
      </c>
      <c r="G1334" s="48" t="str">
        <f>HYPERLINK("https://uscode.house.gov/view.xhtml?req=granuleid:USC-prelim-title22-section7110&amp;num=0&amp;edition=prelim", "22 U.S.C. 7110(e)(2)")</f>
        <v>22 U.S.C. 7110(e)(2)</v>
      </c>
      <c r="H1334" s="46">
        <v>43511</v>
      </c>
      <c r="I1334" s="13">
        <v>2019</v>
      </c>
      <c r="J1334" s="47">
        <v>7500000</v>
      </c>
      <c r="K1334" s="16" t="s">
        <v>62</v>
      </c>
      <c r="L1334" s="3" t="s">
        <v>80</v>
      </c>
      <c r="M1334" s="3" t="s">
        <v>81</v>
      </c>
      <c r="N1334" s="3" t="s">
        <v>82</v>
      </c>
    </row>
    <row r="1335" spans="1:14" x14ac:dyDescent="0.3">
      <c r="A1335" s="36" t="s">
        <v>37</v>
      </c>
      <c r="B1335" s="13">
        <v>116</v>
      </c>
      <c r="C1335" s="48" t="str">
        <f>HYPERLINK("https://uscode.house.gov/statutes/pl/116/5.pdf", "P.L. 116-5")</f>
        <v>P.L. 116-5</v>
      </c>
      <c r="D1335" s="3" t="s">
        <v>2506</v>
      </c>
      <c r="E1335" s="3" t="s">
        <v>2513</v>
      </c>
      <c r="F1335" s="3" t="s">
        <v>2514</v>
      </c>
      <c r="G1335" s="48" t="str">
        <f>HYPERLINK("https://uscode.house.gov/view.xhtml?req=granuleid:USC-prelim-title22-section7110&amp;num=0&amp;edition=prelim", "22 U.S.C. 7110(e)(1)")</f>
        <v>22 U.S.C. 7110(e)(1)</v>
      </c>
      <c r="H1335" s="46">
        <v>43511</v>
      </c>
      <c r="I1335" s="13">
        <v>2019</v>
      </c>
      <c r="J1335" s="47">
        <v>7500000</v>
      </c>
      <c r="K1335" s="47">
        <v>12500000</v>
      </c>
      <c r="L1335" s="3" t="s">
        <v>80</v>
      </c>
      <c r="M1335" s="3" t="s">
        <v>81</v>
      </c>
      <c r="N1335" s="3" t="s">
        <v>82</v>
      </c>
    </row>
    <row r="1336" spans="1:14" x14ac:dyDescent="0.3">
      <c r="A1336" s="36" t="s">
        <v>37</v>
      </c>
      <c r="B1336" s="13">
        <v>116</v>
      </c>
      <c r="C1336" s="48" t="str">
        <f>HYPERLINK("https://uscode.house.gov/statutes/pl/116/6.pdf", "P.L. 116-6")</f>
        <v>P.L. 116-6</v>
      </c>
      <c r="D1336" s="3" t="s">
        <v>1947</v>
      </c>
      <c r="F1336" s="3" t="s">
        <v>2515</v>
      </c>
      <c r="G1336" s="49"/>
      <c r="H1336" s="46">
        <v>47026</v>
      </c>
      <c r="I1336" s="13">
        <v>2028</v>
      </c>
      <c r="J1336" s="16" t="s">
        <v>12</v>
      </c>
      <c r="K1336" s="16" t="s">
        <v>62</v>
      </c>
      <c r="L1336" s="3" t="s">
        <v>156</v>
      </c>
      <c r="M1336" s="3" t="s">
        <v>157</v>
      </c>
      <c r="N1336" s="3" t="s">
        <v>158</v>
      </c>
    </row>
    <row r="1337" spans="1:14" x14ac:dyDescent="0.3">
      <c r="A1337" s="36" t="s">
        <v>37</v>
      </c>
      <c r="B1337" s="13">
        <v>116</v>
      </c>
      <c r="C1337" s="48" t="str">
        <f>HYPERLINK("https://uscode.house.gov/statutes/pl/116/9.pdf", "P.L. 116-9")</f>
        <v>P.L. 116-9</v>
      </c>
      <c r="D1337" s="3" t="s">
        <v>2516</v>
      </c>
      <c r="E1337" s="3" t="s">
        <v>2517</v>
      </c>
      <c r="F1337" s="3" t="s">
        <v>2518</v>
      </c>
      <c r="G1337" s="49"/>
      <c r="H1337" s="46">
        <v>45199</v>
      </c>
      <c r="I1337" s="13">
        <v>2023</v>
      </c>
      <c r="J1337" s="16" t="s">
        <v>12</v>
      </c>
      <c r="K1337" s="16" t="s">
        <v>62</v>
      </c>
      <c r="L1337" s="3" t="s">
        <v>47</v>
      </c>
      <c r="M1337" s="3" t="s">
        <v>48</v>
      </c>
      <c r="N1337" s="3" t="s">
        <v>49</v>
      </c>
    </row>
    <row r="1338" spans="1:14" x14ac:dyDescent="0.3">
      <c r="A1338" s="36" t="s">
        <v>37</v>
      </c>
      <c r="B1338" s="13">
        <v>116</v>
      </c>
      <c r="C1338" s="48" t="str">
        <f>HYPERLINK("https://uscode.house.gov/statutes/pl/116/9.pdf", "P.L. 116-9")</f>
        <v>P.L. 116-9</v>
      </c>
      <c r="D1338" s="3" t="s">
        <v>2516</v>
      </c>
      <c r="E1338" s="3" t="s">
        <v>1854</v>
      </c>
      <c r="F1338" s="3" t="s">
        <v>2519</v>
      </c>
      <c r="G1338" s="48" t="str">
        <f>HYPERLINK("https://uscode.house.gov/view.xhtml?req=granuleid:USC-prelim-title16-section6305&amp;num=0&amp;edition=prelim", "16 U.S.C. 6305")</f>
        <v>16 U.S.C. 6305</v>
      </c>
      <c r="H1338" s="46">
        <v>45199</v>
      </c>
      <c r="I1338" s="13">
        <v>2023</v>
      </c>
      <c r="J1338" s="47">
        <v>5000000</v>
      </c>
      <c r="K1338" s="16" t="s">
        <v>62</v>
      </c>
      <c r="L1338" s="3" t="s">
        <v>47</v>
      </c>
      <c r="M1338" s="3" t="s">
        <v>67</v>
      </c>
      <c r="N1338" s="3" t="s">
        <v>49</v>
      </c>
    </row>
    <row r="1339" spans="1:14" x14ac:dyDescent="0.3">
      <c r="A1339" s="36" t="s">
        <v>37</v>
      </c>
      <c r="B1339" s="13">
        <v>116</v>
      </c>
      <c r="C1339" s="48" t="str">
        <f>HYPERLINK("https://uscode.house.gov/statutes/pl/116/9.pdf", "P.L. 116-9")</f>
        <v>P.L. 116-9</v>
      </c>
      <c r="D1339" s="3" t="s">
        <v>2516</v>
      </c>
      <c r="E1339" s="3" t="s">
        <v>1854</v>
      </c>
      <c r="F1339" s="3" t="s">
        <v>2520</v>
      </c>
      <c r="G1339" s="48" t="str">
        <f>HYPERLINK("https://uscode.house.gov/view.xhtml?req=granuleid:USC-prelim-title16-section6606&amp;num=0&amp;edition=prelim", "16 U.S.C. 6606")</f>
        <v>16 U.S.C. 6606</v>
      </c>
      <c r="H1339" s="46">
        <v>45199</v>
      </c>
      <c r="I1339" s="13">
        <v>2023</v>
      </c>
      <c r="J1339" s="47">
        <v>5000000</v>
      </c>
      <c r="K1339" s="16" t="s">
        <v>62</v>
      </c>
      <c r="L1339" s="3" t="s">
        <v>47</v>
      </c>
      <c r="M1339" s="3" t="s">
        <v>67</v>
      </c>
      <c r="N1339" s="3" t="s">
        <v>49</v>
      </c>
    </row>
    <row r="1340" spans="1:14" x14ac:dyDescent="0.3">
      <c r="A1340" s="36" t="s">
        <v>37</v>
      </c>
      <c r="B1340" s="13">
        <v>116</v>
      </c>
      <c r="C1340" s="48" t="str">
        <f>HYPERLINK("https://uscode.house.gov/statutes/pl/116/9.pdf", "P.L. 116-9")</f>
        <v>P.L. 116-9</v>
      </c>
      <c r="D1340" s="3" t="s">
        <v>2516</v>
      </c>
      <c r="E1340" s="3" t="s">
        <v>2086</v>
      </c>
      <c r="F1340" s="3" t="s">
        <v>2521</v>
      </c>
      <c r="G1340" s="48" t="str">
        <f>HYPERLINK("https://uscode.house.gov/view.xhtml?req=granuleid:USC-prelim-title16-section6109&amp;num=0&amp;edition=prelim", "16 U.S.C. 6109")</f>
        <v>16 U.S.C. 6109</v>
      </c>
      <c r="H1340" s="46">
        <v>45199</v>
      </c>
      <c r="I1340" s="13">
        <v>2023</v>
      </c>
      <c r="J1340" s="47">
        <v>6500000</v>
      </c>
      <c r="K1340" s="16" t="s">
        <v>62</v>
      </c>
      <c r="L1340" s="3" t="s">
        <v>47</v>
      </c>
      <c r="M1340" s="3" t="s">
        <v>67</v>
      </c>
      <c r="N1340" s="3" t="s">
        <v>49</v>
      </c>
    </row>
    <row r="1341" spans="1:14" x14ac:dyDescent="0.3">
      <c r="A1341" s="36" t="s">
        <v>37</v>
      </c>
      <c r="B1341" s="13">
        <v>116</v>
      </c>
      <c r="C1341" s="48" t="str">
        <f>HYPERLINK("https://uscode.house.gov/statutes/pl/116/9.pdf", "P.L. 116-9")</f>
        <v>P.L. 116-9</v>
      </c>
      <c r="D1341" s="3" t="s">
        <v>2516</v>
      </c>
      <c r="E1341" s="3" t="s">
        <v>2182</v>
      </c>
      <c r="F1341" s="3" t="s">
        <v>2522</v>
      </c>
      <c r="G1341" s="49"/>
      <c r="H1341" s="46">
        <v>45199</v>
      </c>
      <c r="I1341" s="13">
        <v>2023</v>
      </c>
      <c r="J1341" s="47">
        <v>10000000</v>
      </c>
      <c r="K1341" s="16" t="s">
        <v>62</v>
      </c>
      <c r="L1341" s="3" t="s">
        <v>47</v>
      </c>
      <c r="M1341" s="3" t="s">
        <v>48</v>
      </c>
      <c r="N1341" s="3" t="s">
        <v>58</v>
      </c>
    </row>
    <row r="1342" spans="1:14" x14ac:dyDescent="0.3">
      <c r="A1342" s="36" t="s">
        <v>37</v>
      </c>
      <c r="B1342" s="13">
        <v>116</v>
      </c>
      <c r="C1342" s="48" t="str">
        <f t="shared" ref="C1342:C1355" si="50">HYPERLINK("https://uscode.house.gov/statutes/pl/116/22.pdf", "P.L. 116-22")</f>
        <v>P.L. 116-22</v>
      </c>
      <c r="D1342" s="3" t="s">
        <v>2523</v>
      </c>
      <c r="E1342" s="3" t="s">
        <v>2524</v>
      </c>
      <c r="F1342" s="3" t="s">
        <v>2525</v>
      </c>
      <c r="G1342" s="48" t="str">
        <f>HYPERLINK("https://uscode.house.gov/view.xhtml?req=granuleid:USC-prelim-title42-section247d-3a&amp;num=0&amp;edition=prelim", "42 U.S.C. 247d-3a(h)(1)")</f>
        <v>42 U.S.C. 247d-3a(h)(1)</v>
      </c>
      <c r="H1342" s="46">
        <v>45199</v>
      </c>
      <c r="I1342" s="13">
        <v>2023</v>
      </c>
      <c r="J1342" s="47">
        <v>685000000</v>
      </c>
      <c r="K1342" s="16" t="s">
        <v>62</v>
      </c>
      <c r="L1342" s="3" t="s">
        <v>60</v>
      </c>
      <c r="M1342" s="3" t="s">
        <v>71</v>
      </c>
      <c r="N1342" s="3" t="s">
        <v>72</v>
      </c>
    </row>
    <row r="1343" spans="1:14" x14ac:dyDescent="0.3">
      <c r="A1343" s="36" t="s">
        <v>37</v>
      </c>
      <c r="B1343" s="13">
        <v>116</v>
      </c>
      <c r="C1343" s="48" t="str">
        <f t="shared" si="50"/>
        <v>P.L. 116-22</v>
      </c>
      <c r="D1343" s="3" t="s">
        <v>2523</v>
      </c>
      <c r="E1343" s="3" t="s">
        <v>1243</v>
      </c>
      <c r="F1343" s="3" t="s">
        <v>2526</v>
      </c>
      <c r="G1343" s="48" t="str">
        <f>HYPERLINK("https://uscode.house.gov/view.xhtml?req=granuleid:USC-prelim-title42-section247d-1&amp;num=0&amp;edition=prelim", "42 U.S.C. 247d-1(e)")</f>
        <v>42 U.S.C. 247d-1(e)</v>
      </c>
      <c r="H1343" s="46">
        <v>45199</v>
      </c>
      <c r="I1343" s="13">
        <v>2023</v>
      </c>
      <c r="J1343" s="47">
        <v>30800000</v>
      </c>
      <c r="K1343" s="16" t="s">
        <v>62</v>
      </c>
      <c r="L1343" s="3" t="s">
        <v>60</v>
      </c>
      <c r="M1343" s="3" t="s">
        <v>71</v>
      </c>
      <c r="N1343" s="3" t="s">
        <v>72</v>
      </c>
    </row>
    <row r="1344" spans="1:14" x14ac:dyDescent="0.3">
      <c r="A1344" s="36" t="s">
        <v>37</v>
      </c>
      <c r="B1344" s="13">
        <v>116</v>
      </c>
      <c r="C1344" s="48" t="str">
        <f t="shared" si="50"/>
        <v>P.L. 116-22</v>
      </c>
      <c r="D1344" s="3" t="s">
        <v>2523</v>
      </c>
      <c r="E1344" s="3" t="s">
        <v>2527</v>
      </c>
      <c r="F1344" s="3" t="s">
        <v>2528</v>
      </c>
      <c r="G1344" s="48" t="str">
        <f>HYPERLINK("https://uscode.house.gov/view.xhtml?req=granuleid:USC-prelim-title42-section300hh-11&amp;num=0&amp;edition=prelim", "42 U.S.C. 300hh-11")</f>
        <v>42 U.S.C. 300hh-11</v>
      </c>
      <c r="H1344" s="46">
        <v>45199</v>
      </c>
      <c r="I1344" s="13">
        <v>2023</v>
      </c>
      <c r="J1344" s="47">
        <v>57400000</v>
      </c>
      <c r="K1344" s="16" t="s">
        <v>62</v>
      </c>
      <c r="L1344" s="3" t="s">
        <v>60</v>
      </c>
      <c r="M1344" s="3" t="s">
        <v>71</v>
      </c>
      <c r="N1344" s="3" t="s">
        <v>72</v>
      </c>
    </row>
    <row r="1345" spans="1:14" x14ac:dyDescent="0.3">
      <c r="A1345" s="36" t="s">
        <v>37</v>
      </c>
      <c r="B1345" s="13">
        <v>116</v>
      </c>
      <c r="C1345" s="48" t="str">
        <f t="shared" si="50"/>
        <v>P.L. 116-22</v>
      </c>
      <c r="D1345" s="3" t="s">
        <v>2523</v>
      </c>
      <c r="E1345" s="3" t="s">
        <v>2529</v>
      </c>
      <c r="F1345" s="3" t="s">
        <v>2530</v>
      </c>
      <c r="G1345" s="48" t="str">
        <f>HYPERLINK("https://uscode.house.gov/view.xhtml?req=granuleid:USC-prelim-title42-section300hh-15&amp;num=0&amp;edition=prelim", "42 U.S.C. 300hh-15")</f>
        <v>42 U.S.C. 300hh-15</v>
      </c>
      <c r="H1345" s="46">
        <v>45199</v>
      </c>
      <c r="I1345" s="13">
        <v>2023</v>
      </c>
      <c r="J1345" s="47">
        <v>11200000</v>
      </c>
      <c r="K1345" s="16" t="s">
        <v>62</v>
      </c>
      <c r="L1345" s="3" t="s">
        <v>60</v>
      </c>
      <c r="M1345" s="3" t="s">
        <v>71</v>
      </c>
      <c r="N1345" s="3" t="s">
        <v>72</v>
      </c>
    </row>
    <row r="1346" spans="1:14" x14ac:dyDescent="0.3">
      <c r="A1346" s="36" t="s">
        <v>37</v>
      </c>
      <c r="B1346" s="13">
        <v>116</v>
      </c>
      <c r="C1346" s="48" t="str">
        <f t="shared" si="50"/>
        <v>P.L. 116-22</v>
      </c>
      <c r="D1346" s="3" t="s">
        <v>2523</v>
      </c>
      <c r="E1346" s="3" t="s">
        <v>2531</v>
      </c>
      <c r="F1346" s="3" t="s">
        <v>2532</v>
      </c>
      <c r="G1346" s="48" t="str">
        <f>HYPERLINK("https://uscode.house.gov/view.xhtml?req=granuleid:USC-prelim-title42-section247d-7b&amp;num=0&amp;edition=prelim", "42 U.S.C. 247d-7b(k)")</f>
        <v>42 U.S.C. 247d-7b(k)</v>
      </c>
      <c r="H1346" s="46">
        <v>45199</v>
      </c>
      <c r="I1346" s="13">
        <v>2023</v>
      </c>
      <c r="J1346" s="47">
        <v>5000000</v>
      </c>
      <c r="K1346" s="16" t="s">
        <v>62</v>
      </c>
      <c r="L1346" s="3" t="s">
        <v>60</v>
      </c>
      <c r="M1346" s="3" t="s">
        <v>71</v>
      </c>
      <c r="N1346" s="3" t="s">
        <v>72</v>
      </c>
    </row>
    <row r="1347" spans="1:14" x14ac:dyDescent="0.3">
      <c r="A1347" s="36" t="s">
        <v>37</v>
      </c>
      <c r="B1347" s="13">
        <v>116</v>
      </c>
      <c r="C1347" s="48" t="str">
        <f t="shared" si="50"/>
        <v>P.L. 116-22</v>
      </c>
      <c r="D1347" s="3" t="s">
        <v>2523</v>
      </c>
      <c r="E1347" s="3" t="s">
        <v>2533</v>
      </c>
      <c r="F1347" s="3" t="s">
        <v>2534</v>
      </c>
      <c r="G1347" s="48" t="str">
        <f>HYPERLINK("https://uscode.house.gov/view.xhtml?req=granuleid:USC-prelim-title42-section247d-3b&amp;num=0&amp;edition=prelim", "42 U.S.C. 247d-3b")</f>
        <v>42 U.S.C. 247d-3b</v>
      </c>
      <c r="H1347" s="46">
        <v>45199</v>
      </c>
      <c r="I1347" s="13">
        <v>2023</v>
      </c>
      <c r="J1347" s="47">
        <v>385000000</v>
      </c>
      <c r="K1347" s="16" t="s">
        <v>62</v>
      </c>
      <c r="L1347" s="3" t="s">
        <v>60</v>
      </c>
      <c r="M1347" s="3" t="s">
        <v>71</v>
      </c>
      <c r="N1347" s="3" t="s">
        <v>72</v>
      </c>
    </row>
    <row r="1348" spans="1:14" x14ac:dyDescent="0.3">
      <c r="A1348" s="36" t="s">
        <v>37</v>
      </c>
      <c r="B1348" s="13">
        <v>116</v>
      </c>
      <c r="C1348" s="48" t="str">
        <f t="shared" si="50"/>
        <v>P.L. 116-22</v>
      </c>
      <c r="D1348" s="3" t="s">
        <v>2523</v>
      </c>
      <c r="E1348" s="3" t="s">
        <v>2535</v>
      </c>
      <c r="F1348" s="3" t="s">
        <v>2536</v>
      </c>
      <c r="G1348" s="48" t="str">
        <f>HYPERLINK("https://uscode.house.gov/view.xhtml?req=granuleid:USC-prelim-title42-section247d-6b&amp;num=0&amp;edition=prelim", "42 U.S.C. 247d-6b")</f>
        <v>42 U.S.C. 247d-6b</v>
      </c>
      <c r="H1348" s="46">
        <v>47026</v>
      </c>
      <c r="I1348" s="13">
        <v>2028</v>
      </c>
      <c r="J1348" s="16" t="s">
        <v>12</v>
      </c>
      <c r="K1348" s="16" t="s">
        <v>62</v>
      </c>
      <c r="L1348" s="3" t="s">
        <v>60</v>
      </c>
      <c r="M1348" s="3" t="s">
        <v>71</v>
      </c>
      <c r="N1348" s="3" t="s">
        <v>72</v>
      </c>
    </row>
    <row r="1349" spans="1:14" x14ac:dyDescent="0.3">
      <c r="A1349" s="36" t="s">
        <v>37</v>
      </c>
      <c r="B1349" s="13">
        <v>116</v>
      </c>
      <c r="C1349" s="48" t="str">
        <f t="shared" si="50"/>
        <v>P.L. 116-22</v>
      </c>
      <c r="D1349" s="3" t="s">
        <v>2523</v>
      </c>
      <c r="E1349" s="3" t="s">
        <v>2537</v>
      </c>
      <c r="F1349" s="3" t="s">
        <v>2538</v>
      </c>
      <c r="G1349" s="48" t="str">
        <f>HYPERLINK("https://uscode.house.gov/view.xhtml?req=granuleid:USC-prelim-title42-section247d-7e&amp;num=0&amp;edition=prelim", "42 U.S.C. 247d-7e(d)")</f>
        <v>42 U.S.C. 247d-7e(d)</v>
      </c>
      <c r="H1349" s="46">
        <v>45199</v>
      </c>
      <c r="I1349" s="13">
        <v>2023</v>
      </c>
      <c r="J1349" s="47">
        <v>611700000</v>
      </c>
      <c r="K1349" s="16" t="s">
        <v>62</v>
      </c>
      <c r="L1349" s="3" t="s">
        <v>60</v>
      </c>
      <c r="M1349" s="3" t="s">
        <v>71</v>
      </c>
      <c r="N1349" s="3" t="s">
        <v>72</v>
      </c>
    </row>
    <row r="1350" spans="1:14" x14ac:dyDescent="0.3">
      <c r="A1350" s="36" t="s">
        <v>37</v>
      </c>
      <c r="B1350" s="13">
        <v>116</v>
      </c>
      <c r="C1350" s="48" t="str">
        <f t="shared" si="50"/>
        <v>P.L. 116-22</v>
      </c>
      <c r="D1350" s="3" t="s">
        <v>2523</v>
      </c>
      <c r="E1350" s="3" t="s">
        <v>2539</v>
      </c>
      <c r="F1350" s="3" t="s">
        <v>2540</v>
      </c>
      <c r="G1350" s="48" t="str">
        <f>HYPERLINK("https://uscode.house.gov/view.xhtml?req=granuleid:USC-prelim-title38-section8117&amp;num=0&amp;edition=prelim", "38 U.S.C. 8117")</f>
        <v>38 U.S.C. 8117</v>
      </c>
      <c r="H1350" s="46">
        <v>45199</v>
      </c>
      <c r="I1350" s="13">
        <v>2023</v>
      </c>
      <c r="J1350" s="47">
        <v>155300000</v>
      </c>
      <c r="K1350" s="16" t="s">
        <v>62</v>
      </c>
      <c r="L1350" s="3" t="s">
        <v>60</v>
      </c>
      <c r="M1350" s="3" t="s">
        <v>266</v>
      </c>
      <c r="N1350" s="3" t="s">
        <v>267</v>
      </c>
    </row>
    <row r="1351" spans="1:14" x14ac:dyDescent="0.3">
      <c r="A1351" s="36" t="s">
        <v>37</v>
      </c>
      <c r="B1351" s="13">
        <v>116</v>
      </c>
      <c r="C1351" s="48" t="str">
        <f t="shared" si="50"/>
        <v>P.L. 116-22</v>
      </c>
      <c r="D1351" s="3" t="s">
        <v>2523</v>
      </c>
      <c r="E1351" s="3" t="s">
        <v>2541</v>
      </c>
      <c r="F1351" s="3" t="s">
        <v>2542</v>
      </c>
      <c r="G1351" s="48" t="str">
        <f>HYPERLINK("https://uscode.house.gov/view.xhtml?req=granuleid:USC-prelim-title42-section247b-21&amp;num=0&amp;edition=prelim", "42 U.S.C. 247b-21")</f>
        <v>42 U.S.C. 247b-21</v>
      </c>
      <c r="H1351" s="46">
        <v>45199</v>
      </c>
      <c r="I1351" s="13">
        <v>2023</v>
      </c>
      <c r="J1351" s="47">
        <v>100000000</v>
      </c>
      <c r="K1351" s="16" t="s">
        <v>62</v>
      </c>
      <c r="L1351" s="3" t="s">
        <v>60</v>
      </c>
      <c r="M1351" s="3" t="s">
        <v>71</v>
      </c>
      <c r="N1351" s="3" t="s">
        <v>72</v>
      </c>
    </row>
    <row r="1352" spans="1:14" x14ac:dyDescent="0.3">
      <c r="A1352" s="36" t="s">
        <v>37</v>
      </c>
      <c r="B1352" s="13">
        <v>116</v>
      </c>
      <c r="C1352" s="48" t="str">
        <f t="shared" si="50"/>
        <v>P.L. 116-22</v>
      </c>
      <c r="D1352" s="3" t="s">
        <v>2523</v>
      </c>
      <c r="E1352" s="3" t="s">
        <v>2543</v>
      </c>
      <c r="F1352" s="3" t="s">
        <v>2544</v>
      </c>
      <c r="G1352" s="48" t="str">
        <f>HYPERLINK("https://uscode.house.gov/view.xhtml?req=granuleid:USC-prelim-title42-section300hh-31&amp;num=0&amp;edition=prelim", "42 U.S.C. 300hh-31(b)")</f>
        <v>42 U.S.C. 300hh-31(b)</v>
      </c>
      <c r="H1352" s="46">
        <v>45199</v>
      </c>
      <c r="I1352" s="13">
        <v>2023</v>
      </c>
      <c r="J1352" s="47">
        <v>190000000</v>
      </c>
      <c r="K1352" s="16" t="s">
        <v>62</v>
      </c>
      <c r="L1352" s="3" t="s">
        <v>60</v>
      </c>
      <c r="M1352" s="3" t="s">
        <v>71</v>
      </c>
      <c r="N1352" s="3" t="s">
        <v>72</v>
      </c>
    </row>
    <row r="1353" spans="1:14" x14ac:dyDescent="0.3">
      <c r="A1353" s="36" t="s">
        <v>37</v>
      </c>
      <c r="B1353" s="13">
        <v>116</v>
      </c>
      <c r="C1353" s="48" t="str">
        <f t="shared" si="50"/>
        <v>P.L. 116-22</v>
      </c>
      <c r="D1353" s="3" t="s">
        <v>2523</v>
      </c>
      <c r="E1353" s="3" t="s">
        <v>2545</v>
      </c>
      <c r="F1353" s="3" t="s">
        <v>2546</v>
      </c>
      <c r="G1353" s="48" t="str">
        <f>HYPERLINK("https://uscode.house.gov/view.xhtml?req=granuleid:USC-prelim-title42-section247b-7&amp;num=0&amp;edition=prelim", "42 U.S.C. 247b-7(c)(2)")</f>
        <v>42 U.S.C. 247b-7(c)(2)</v>
      </c>
      <c r="H1353" s="46">
        <v>45199</v>
      </c>
      <c r="I1353" s="13">
        <v>2023</v>
      </c>
      <c r="J1353" s="47">
        <v>1000000</v>
      </c>
      <c r="K1353" s="16" t="s">
        <v>62</v>
      </c>
      <c r="L1353" s="3" t="s">
        <v>60</v>
      </c>
      <c r="M1353" s="3" t="s">
        <v>71</v>
      </c>
      <c r="N1353" s="3" t="s">
        <v>72</v>
      </c>
    </row>
    <row r="1354" spans="1:14" x14ac:dyDescent="0.3">
      <c r="A1354" s="36" t="s">
        <v>37</v>
      </c>
      <c r="B1354" s="13">
        <v>116</v>
      </c>
      <c r="C1354" s="48" t="str">
        <f t="shared" si="50"/>
        <v>P.L. 116-22</v>
      </c>
      <c r="D1354" s="3" t="s">
        <v>2523</v>
      </c>
      <c r="E1354" s="3" t="s">
        <v>659</v>
      </c>
      <c r="F1354" s="3" t="s">
        <v>2547</v>
      </c>
      <c r="G1354" s="48" t="str">
        <f>HYPERLINK("https://uscode.house.gov/view.xhtml?req=granuleid:USC-prelim-title42-section300d-91&amp;num=0&amp;edition=prelim", "42 U.S.C. 300d-91(g)")</f>
        <v>42 U.S.C. 300d-91(g)</v>
      </c>
      <c r="H1354" s="46">
        <v>45199</v>
      </c>
      <c r="I1354" s="13">
        <v>2023</v>
      </c>
      <c r="J1354" s="47">
        <v>11500000</v>
      </c>
      <c r="K1354" s="16" t="s">
        <v>62</v>
      </c>
      <c r="L1354" s="3" t="s">
        <v>60</v>
      </c>
      <c r="M1354" s="3" t="s">
        <v>71</v>
      </c>
      <c r="N1354" s="3" t="s">
        <v>72</v>
      </c>
    </row>
    <row r="1355" spans="1:14" x14ac:dyDescent="0.3">
      <c r="A1355" s="36" t="s">
        <v>37</v>
      </c>
      <c r="B1355" s="13">
        <v>116</v>
      </c>
      <c r="C1355" s="48" t="str">
        <f t="shared" si="50"/>
        <v>P.L. 116-22</v>
      </c>
      <c r="D1355" s="3" t="s">
        <v>2523</v>
      </c>
      <c r="E1355" s="3" t="s">
        <v>2548</v>
      </c>
      <c r="F1355" s="3" t="s">
        <v>2549</v>
      </c>
      <c r="G1355" s="48" t="str">
        <f>HYPERLINK("https://uscode.house.gov/view.xhtml?req=granuleid:USC-prelim-title42-section300hh-10&amp;num=0&amp;edition=prelim", "42 U.S.C. 300hh-10(f)(2)")</f>
        <v>42 U.S.C. 300hh-10(f)(2)</v>
      </c>
      <c r="H1355" s="46">
        <v>45199</v>
      </c>
      <c r="I1355" s="13">
        <v>2023</v>
      </c>
      <c r="J1355" s="47">
        <v>250000000</v>
      </c>
      <c r="K1355" s="16" t="s">
        <v>62</v>
      </c>
      <c r="L1355" s="3" t="s">
        <v>60</v>
      </c>
      <c r="M1355" s="3" t="s">
        <v>71</v>
      </c>
      <c r="N1355" s="3" t="s">
        <v>72</v>
      </c>
    </row>
    <row r="1356" spans="1:14" x14ac:dyDescent="0.3">
      <c r="A1356" s="36" t="s">
        <v>37</v>
      </c>
      <c r="B1356" s="13">
        <v>116</v>
      </c>
      <c r="C1356" s="48" t="str">
        <f>HYPERLINK("https://uscode.house.gov/statutes/pl/116/32.pdf", "P.L. 116-32")</f>
        <v>P.L. 116-32</v>
      </c>
      <c r="D1356" s="3" t="s">
        <v>2550</v>
      </c>
      <c r="E1356" s="3" t="s">
        <v>296</v>
      </c>
      <c r="F1356" s="3" t="s">
        <v>2551</v>
      </c>
      <c r="G1356" s="48" t="str">
        <f>HYPERLINK("https://uscode.house.gov/view.xhtml?req=granuleid:USC-prelim-title34-section10261&amp;num=0&amp;edition=prelim", "34 U.S.C. 10261(a)")</f>
        <v>34 U.S.C. 10261(a)</v>
      </c>
      <c r="H1356" s="46">
        <v>45565</v>
      </c>
      <c r="I1356" s="13">
        <v>2024</v>
      </c>
      <c r="J1356" s="47">
        <v>7500000</v>
      </c>
      <c r="K1356" s="16" t="s">
        <v>62</v>
      </c>
      <c r="L1356" s="3" t="s">
        <v>41</v>
      </c>
      <c r="M1356" s="3" t="s">
        <v>42</v>
      </c>
      <c r="N1356" s="3" t="s">
        <v>43</v>
      </c>
    </row>
    <row r="1357" spans="1:14" x14ac:dyDescent="0.3">
      <c r="A1357" s="36" t="s">
        <v>37</v>
      </c>
      <c r="B1357" s="13">
        <v>116</v>
      </c>
      <c r="C1357" s="48" t="str">
        <f>HYPERLINK("https://uscode.house.gov/statutes/pl/116/49.pdf", "P.L. 116-49")</f>
        <v>P.L. 116-49</v>
      </c>
      <c r="D1357" s="3" t="s">
        <v>2552</v>
      </c>
      <c r="F1357" s="3" t="s">
        <v>2553</v>
      </c>
      <c r="G1357" s="48" t="str">
        <f>HYPERLINK("https://uscode.house.gov/view.xhtml?req=granuleid:USC-prelim-title42-section300w-9&amp;num=0&amp;edition=prelim", "42 U.S.C. 300w-9(d)")</f>
        <v>42 U.S.C. 300w-9(d)</v>
      </c>
      <c r="H1357" s="46">
        <v>45565</v>
      </c>
      <c r="I1357" s="13">
        <v>2024</v>
      </c>
      <c r="J1357" s="47">
        <v>22334000</v>
      </c>
      <c r="K1357" s="16" t="s">
        <v>62</v>
      </c>
      <c r="L1357" s="3" t="s">
        <v>60</v>
      </c>
      <c r="M1357" s="3" t="s">
        <v>71</v>
      </c>
      <c r="N1357" s="3" t="s">
        <v>72</v>
      </c>
    </row>
    <row r="1358" spans="1:14" x14ac:dyDescent="0.3">
      <c r="A1358" s="36" t="s">
        <v>37</v>
      </c>
      <c r="B1358" s="13">
        <v>116</v>
      </c>
      <c r="C1358" s="48" t="str">
        <f>HYPERLINK("https://uscode.house.gov/statutes/pl/116/60.pdf", "P.L. 116-60")</f>
        <v>P.L. 116-60</v>
      </c>
      <c r="D1358" s="3" t="s">
        <v>2554</v>
      </c>
      <c r="F1358" s="3" t="s">
        <v>2555</v>
      </c>
      <c r="G1358" s="48" t="str">
        <f>HYPERLINK("https://uscode.house.gov/view.xhtml?req=granuleid:USC-prelim-title42-section280i&amp;num=0&amp;edition=prelim", "42 U.S.C. 280i")</f>
        <v>42 U.S.C. 280i</v>
      </c>
      <c r="H1358" s="46">
        <v>45565</v>
      </c>
      <c r="I1358" s="13">
        <v>2024</v>
      </c>
      <c r="J1358" s="47">
        <v>23100000</v>
      </c>
      <c r="K1358" s="16" t="s">
        <v>62</v>
      </c>
      <c r="L1358" s="3" t="s">
        <v>60</v>
      </c>
      <c r="M1358" s="3" t="s">
        <v>71</v>
      </c>
      <c r="N1358" s="3" t="s">
        <v>72</v>
      </c>
    </row>
    <row r="1359" spans="1:14" x14ac:dyDescent="0.3">
      <c r="A1359" s="36" t="s">
        <v>37</v>
      </c>
      <c r="B1359" s="13">
        <v>116</v>
      </c>
      <c r="C1359" s="48" t="str">
        <f>HYPERLINK("https://uscode.house.gov/statutes/pl/116/60.pdf", "P.L. 116-60")</f>
        <v>P.L. 116-60</v>
      </c>
      <c r="D1359" s="3" t="s">
        <v>2554</v>
      </c>
      <c r="F1359" s="3" t="s">
        <v>2556</v>
      </c>
      <c r="G1359" s="48" t="str">
        <f>HYPERLINK("https://uscode.house.gov/view.xhtml?req=granuleid:USC-prelim-title42-section280i-1&amp;num=0&amp;edition=prelim", "42 U.S.C. 280i-1")</f>
        <v>42 U.S.C. 280i-1</v>
      </c>
      <c r="H1359" s="46">
        <v>45565</v>
      </c>
      <c r="I1359" s="13">
        <v>2024</v>
      </c>
      <c r="J1359" s="47">
        <v>50599000</v>
      </c>
      <c r="K1359" s="16" t="s">
        <v>62</v>
      </c>
      <c r="L1359" s="3" t="s">
        <v>60</v>
      </c>
      <c r="M1359" s="3" t="s">
        <v>71</v>
      </c>
      <c r="N1359" s="3" t="s">
        <v>72</v>
      </c>
    </row>
    <row r="1360" spans="1:14" x14ac:dyDescent="0.3">
      <c r="A1360" s="36" t="s">
        <v>37</v>
      </c>
      <c r="B1360" s="13">
        <v>116</v>
      </c>
      <c r="C1360" s="48" t="str">
        <f>HYPERLINK("https://uscode.house.gov/statutes/pl/116/60.pdf", "P.L. 116-60")</f>
        <v>P.L. 116-60</v>
      </c>
      <c r="D1360" s="3" t="s">
        <v>2554</v>
      </c>
      <c r="F1360" s="3" t="s">
        <v>2557</v>
      </c>
      <c r="G1360" s="48" t="str">
        <f>HYPERLINK("https://uscode.house.gov/view.xhtml?req=granuleid:USC-prelim-title42-section280i-2&amp;num=0&amp;edition=prelim", "42 U.S.C. 280i-2")</f>
        <v>42 U.S.C. 280i-2</v>
      </c>
      <c r="H1360" s="46">
        <v>45565</v>
      </c>
      <c r="I1360" s="13">
        <v>2024</v>
      </c>
      <c r="J1360" s="47">
        <v>296000000</v>
      </c>
      <c r="K1360" s="16" t="s">
        <v>62</v>
      </c>
      <c r="L1360" s="3" t="s">
        <v>60</v>
      </c>
      <c r="M1360" s="3" t="s">
        <v>71</v>
      </c>
      <c r="N1360" s="3" t="s">
        <v>72</v>
      </c>
    </row>
    <row r="1361" spans="1:14" x14ac:dyDescent="0.3">
      <c r="A1361" s="36" t="s">
        <v>37</v>
      </c>
      <c r="B1361" s="13">
        <v>116</v>
      </c>
      <c r="C1361" s="48" t="str">
        <f t="shared" ref="C1361:C1368" si="51">HYPERLINK("https://uscode.house.gov/statutes/pl/116/92.pdf", "P.L. 116-92")</f>
        <v>P.L. 116-92</v>
      </c>
      <c r="D1361" s="3" t="s">
        <v>2558</v>
      </c>
      <c r="E1361" s="3" t="s">
        <v>2559</v>
      </c>
      <c r="F1361" s="3" t="s">
        <v>2560</v>
      </c>
      <c r="G1361" s="48" t="str">
        <f>HYPERLINK("https://uscode.house.gov/view.xhtml?req=granuleid:USC-prelim-title15-section278s&amp;num=0&amp;edition=prelim", "15 U.S.C. 278s(g)(1)")</f>
        <v>15 U.S.C. 278s(g)(1)</v>
      </c>
      <c r="H1361" s="46">
        <v>45565</v>
      </c>
      <c r="I1361" s="13">
        <v>2024</v>
      </c>
      <c r="J1361" s="16" t="s">
        <v>12</v>
      </c>
      <c r="K1361" s="16" t="s">
        <v>62</v>
      </c>
      <c r="L1361" s="3" t="s">
        <v>60</v>
      </c>
      <c r="M1361" s="3" t="s">
        <v>48</v>
      </c>
      <c r="N1361" s="3" t="s">
        <v>43</v>
      </c>
    </row>
    <row r="1362" spans="1:14" x14ac:dyDescent="0.3">
      <c r="A1362" s="36" t="s">
        <v>37</v>
      </c>
      <c r="B1362" s="13">
        <v>116</v>
      </c>
      <c r="C1362" s="48" t="str">
        <f t="shared" si="51"/>
        <v>P.L. 116-92</v>
      </c>
      <c r="D1362" s="3" t="s">
        <v>2558</v>
      </c>
      <c r="E1362" s="3" t="s">
        <v>2561</v>
      </c>
      <c r="F1362" s="3" t="s">
        <v>2562</v>
      </c>
      <c r="G1362" s="49"/>
      <c r="H1362" s="46">
        <v>49582</v>
      </c>
      <c r="I1362" s="13">
        <v>2035</v>
      </c>
      <c r="J1362" s="47">
        <v>10000000</v>
      </c>
      <c r="K1362" s="16" t="s">
        <v>62</v>
      </c>
      <c r="L1362" s="3" t="s">
        <v>109</v>
      </c>
      <c r="M1362" s="3" t="s">
        <v>1636</v>
      </c>
      <c r="N1362" s="3" t="s">
        <v>158</v>
      </c>
    </row>
    <row r="1363" spans="1:14" x14ac:dyDescent="0.3">
      <c r="A1363" s="36" t="s">
        <v>37</v>
      </c>
      <c r="B1363" s="13">
        <v>116</v>
      </c>
      <c r="C1363" s="48" t="str">
        <f t="shared" si="51"/>
        <v>P.L. 116-92</v>
      </c>
      <c r="D1363" s="3" t="s">
        <v>2558</v>
      </c>
      <c r="F1363" s="3" t="s">
        <v>2563</v>
      </c>
      <c r="G1363" s="49"/>
      <c r="H1363" s="46">
        <v>45565</v>
      </c>
      <c r="I1363" s="13">
        <v>2024</v>
      </c>
      <c r="J1363" s="47">
        <v>100000000</v>
      </c>
      <c r="K1363" s="16" t="s">
        <v>62</v>
      </c>
      <c r="L1363" s="3" t="s">
        <v>60</v>
      </c>
      <c r="M1363" s="3" t="s">
        <v>67</v>
      </c>
      <c r="N1363" s="3" t="s">
        <v>58</v>
      </c>
    </row>
    <row r="1364" spans="1:14" x14ac:dyDescent="0.3">
      <c r="A1364" s="36" t="s">
        <v>37</v>
      </c>
      <c r="B1364" s="13">
        <v>116</v>
      </c>
      <c r="C1364" s="48" t="str">
        <f t="shared" si="51"/>
        <v>P.L. 116-92</v>
      </c>
      <c r="D1364" s="3" t="s">
        <v>2558</v>
      </c>
      <c r="F1364" s="3" t="s">
        <v>2564</v>
      </c>
      <c r="G1364" s="49"/>
      <c r="H1364" s="46">
        <v>45565</v>
      </c>
      <c r="I1364" s="13">
        <v>2024</v>
      </c>
      <c r="J1364" s="47">
        <v>15000000</v>
      </c>
      <c r="K1364" s="16" t="s">
        <v>62</v>
      </c>
      <c r="L1364" s="3" t="s">
        <v>109</v>
      </c>
      <c r="M1364" s="3" t="s">
        <v>67</v>
      </c>
      <c r="N1364" s="3" t="s">
        <v>49</v>
      </c>
    </row>
    <row r="1365" spans="1:14" x14ac:dyDescent="0.3">
      <c r="A1365" s="36" t="s">
        <v>37</v>
      </c>
      <c r="B1365" s="13">
        <v>116</v>
      </c>
      <c r="C1365" s="48" t="str">
        <f t="shared" si="51"/>
        <v>P.L. 116-92</v>
      </c>
      <c r="D1365" s="3" t="s">
        <v>2558</v>
      </c>
      <c r="E1365" s="3" t="s">
        <v>2565</v>
      </c>
      <c r="F1365" s="3" t="s">
        <v>2566</v>
      </c>
      <c r="G1365" s="49"/>
      <c r="H1365" s="46">
        <v>44104</v>
      </c>
      <c r="I1365" s="13">
        <v>2020</v>
      </c>
      <c r="J1365" s="47">
        <v>11500000</v>
      </c>
      <c r="K1365" s="16" t="s">
        <v>62</v>
      </c>
      <c r="L1365" s="3" t="s">
        <v>60</v>
      </c>
      <c r="M1365" s="3" t="s">
        <v>48</v>
      </c>
      <c r="N1365" s="3" t="s">
        <v>58</v>
      </c>
    </row>
    <row r="1366" spans="1:14" x14ac:dyDescent="0.3">
      <c r="A1366" s="36" t="s">
        <v>37</v>
      </c>
      <c r="B1366" s="13">
        <v>116</v>
      </c>
      <c r="C1366" s="48" t="str">
        <f t="shared" si="51"/>
        <v>P.L. 116-92</v>
      </c>
      <c r="D1366" s="3" t="s">
        <v>2558</v>
      </c>
      <c r="E1366" s="3" t="s">
        <v>2567</v>
      </c>
      <c r="F1366" s="3" t="s">
        <v>2568</v>
      </c>
      <c r="G1366" s="48" t="str">
        <f>HYPERLINK("https://uscode.house.gov/view.xhtml?req=granuleid:USC-prelim-title15-section278s&amp;num=0&amp;edition=prelim", "15 U.S.C. 278s(g)(2)")</f>
        <v>15 U.S.C. 278s(g)(2)</v>
      </c>
      <c r="H1366" s="46">
        <v>45565</v>
      </c>
      <c r="I1366" s="13">
        <v>2024</v>
      </c>
      <c r="J1366" s="47">
        <v>84000000</v>
      </c>
      <c r="K1366" s="16" t="s">
        <v>62</v>
      </c>
      <c r="L1366" s="3" t="s">
        <v>60</v>
      </c>
      <c r="M1366" s="3" t="s">
        <v>48</v>
      </c>
      <c r="N1366" s="3" t="s">
        <v>58</v>
      </c>
    </row>
    <row r="1367" spans="1:14" x14ac:dyDescent="0.3">
      <c r="A1367" s="36" t="s">
        <v>37</v>
      </c>
      <c r="B1367" s="13">
        <v>116</v>
      </c>
      <c r="C1367" s="48" t="str">
        <f t="shared" si="51"/>
        <v>P.L. 116-92</v>
      </c>
      <c r="D1367" s="3" t="s">
        <v>2558</v>
      </c>
      <c r="E1367" s="3" t="s">
        <v>2569</v>
      </c>
      <c r="F1367" s="3" t="s">
        <v>2570</v>
      </c>
      <c r="G1367" s="48" t="str">
        <f>HYPERLINK("https://uscode.house.gov/view.xhtml?req=granuleid:USC-prelim-title15-section3722&amp;num=0&amp;edition=prelim", "15 U.S.C. 3722(h)")</f>
        <v>15 U.S.C. 3722(h)</v>
      </c>
      <c r="H1367" s="46">
        <v>45565</v>
      </c>
      <c r="I1367" s="13">
        <v>2024</v>
      </c>
      <c r="J1367" s="47">
        <v>50000000</v>
      </c>
      <c r="K1367" s="16" t="s">
        <v>62</v>
      </c>
      <c r="L1367" s="3" t="s">
        <v>135</v>
      </c>
      <c r="M1367" s="3" t="s">
        <v>148</v>
      </c>
      <c r="N1367" s="3" t="s">
        <v>43</v>
      </c>
    </row>
    <row r="1368" spans="1:14" x14ac:dyDescent="0.3">
      <c r="A1368" s="36" t="s">
        <v>37</v>
      </c>
      <c r="B1368" s="13">
        <v>116</v>
      </c>
      <c r="C1368" s="48" t="str">
        <f t="shared" si="51"/>
        <v>P.L. 116-92</v>
      </c>
      <c r="D1368" s="3" t="s">
        <v>2558</v>
      </c>
      <c r="E1368" s="3" t="s">
        <v>2571</v>
      </c>
      <c r="F1368" s="3" t="s">
        <v>2572</v>
      </c>
      <c r="G1368" s="49"/>
      <c r="H1368" s="46">
        <v>45565</v>
      </c>
      <c r="I1368" s="13">
        <v>2024</v>
      </c>
      <c r="J1368" s="47">
        <v>5000000</v>
      </c>
      <c r="K1368" s="16" t="s">
        <v>62</v>
      </c>
      <c r="L1368" s="3" t="s">
        <v>60</v>
      </c>
      <c r="M1368" s="3" t="s">
        <v>148</v>
      </c>
      <c r="N1368" s="3" t="s">
        <v>43</v>
      </c>
    </row>
    <row r="1369" spans="1:14" x14ac:dyDescent="0.3">
      <c r="A1369" s="36" t="s">
        <v>37</v>
      </c>
      <c r="B1369" s="13">
        <v>116</v>
      </c>
      <c r="C1369" s="48" t="str">
        <f t="shared" ref="C1369:C1384" si="52">HYPERLINK("https://uscode.house.gov/statutes/pl/116/94.pdf", "P.L. 116-94")</f>
        <v>P.L. 116-94</v>
      </c>
      <c r="D1369" s="3" t="s">
        <v>1947</v>
      </c>
      <c r="F1369" s="3" t="s">
        <v>2573</v>
      </c>
      <c r="G1369" s="48" t="str">
        <f>HYPERLINK("https://uscode.house.gov/view.xhtml?req=granuleid:USC-prelim-title42-section300d-72&amp;num=0&amp;edition=prelim", "42 U.S.C. 300d-72")</f>
        <v>42 U.S.C. 300d-72</v>
      </c>
      <c r="H1369" s="46">
        <v>45565</v>
      </c>
      <c r="I1369" s="13">
        <v>2024</v>
      </c>
      <c r="J1369" s="47">
        <v>800000</v>
      </c>
      <c r="K1369" s="16" t="s">
        <v>62</v>
      </c>
      <c r="L1369" s="3" t="s">
        <v>60</v>
      </c>
      <c r="M1369" s="3" t="s">
        <v>71</v>
      </c>
      <c r="N1369" s="3" t="s">
        <v>72</v>
      </c>
    </row>
    <row r="1370" spans="1:14" x14ac:dyDescent="0.3">
      <c r="A1370" s="36" t="s">
        <v>37</v>
      </c>
      <c r="B1370" s="13">
        <v>116</v>
      </c>
      <c r="C1370" s="48" t="str">
        <f t="shared" si="52"/>
        <v>P.L. 116-94</v>
      </c>
      <c r="D1370" s="3" t="s">
        <v>1947</v>
      </c>
      <c r="E1370" s="3" t="s">
        <v>2574</v>
      </c>
      <c r="F1370" s="3" t="s">
        <v>2575</v>
      </c>
      <c r="G1370" s="48" t="str">
        <f>HYPERLINK("https://uscode.house.gov/view.xhtml?req=granuleid:USC-prelim-title42-section300d-73&amp;num=0&amp;edition=prelim", "42 U.S.C. 300d-73(g)")</f>
        <v>42 U.S.C. 300d-73(g)</v>
      </c>
      <c r="H1370" s="46">
        <v>45565</v>
      </c>
      <c r="I1370" s="13">
        <v>2024</v>
      </c>
      <c r="J1370" s="47">
        <v>28600000</v>
      </c>
      <c r="K1370" s="16" t="s">
        <v>62</v>
      </c>
      <c r="L1370" s="3" t="s">
        <v>60</v>
      </c>
      <c r="M1370" s="3" t="s">
        <v>71</v>
      </c>
      <c r="N1370" s="3" t="s">
        <v>72</v>
      </c>
    </row>
    <row r="1371" spans="1:14" x14ac:dyDescent="0.3">
      <c r="A1371" s="36" t="s">
        <v>37</v>
      </c>
      <c r="B1371" s="13">
        <v>116</v>
      </c>
      <c r="C1371" s="48" t="str">
        <f t="shared" si="52"/>
        <v>P.L. 116-94</v>
      </c>
      <c r="D1371" s="3" t="s">
        <v>1947</v>
      </c>
      <c r="E1371" s="3" t="s">
        <v>2576</v>
      </c>
      <c r="F1371" s="3" t="s">
        <v>2577</v>
      </c>
      <c r="G1371" s="48" t="str">
        <f>HYPERLINK("https://uscode.house.gov/view.xhtml?req=granuleid:USC-prelim-title42-section247b-22&amp;num=0&amp;edition=prelim", "42 U.S.C. 247b-22")</f>
        <v>42 U.S.C. 247b-22</v>
      </c>
      <c r="H1371" s="46">
        <v>45930</v>
      </c>
      <c r="I1371" s="13">
        <v>2025</v>
      </c>
      <c r="J1371" s="47">
        <v>1000000</v>
      </c>
      <c r="K1371" s="16" t="s">
        <v>62</v>
      </c>
      <c r="L1371" s="3" t="s">
        <v>60</v>
      </c>
      <c r="M1371" s="3" t="s">
        <v>71</v>
      </c>
      <c r="N1371" s="3" t="s">
        <v>72</v>
      </c>
    </row>
    <row r="1372" spans="1:14" x14ac:dyDescent="0.3">
      <c r="A1372" s="36" t="s">
        <v>37</v>
      </c>
      <c r="B1372" s="13">
        <v>116</v>
      </c>
      <c r="C1372" s="48" t="str">
        <f t="shared" si="52"/>
        <v>P.L. 116-94</v>
      </c>
      <c r="D1372" s="3" t="s">
        <v>1947</v>
      </c>
      <c r="E1372" s="3" t="s">
        <v>2578</v>
      </c>
      <c r="F1372" s="3" t="s">
        <v>2579</v>
      </c>
      <c r="G1372" s="48" t="str">
        <f>HYPERLINK("https://uscode.house.gov/view.xhtml?req=granuleid:USC-prelim-title42-section300hh-31&amp;num=0&amp;edition=prelim", "42 U.S.C. 300hh-31(et seq)")</f>
        <v>42 U.S.C. 300hh-31(et seq)</v>
      </c>
      <c r="H1372" s="46">
        <v>45930</v>
      </c>
      <c r="I1372" s="13">
        <v>2025</v>
      </c>
      <c r="J1372" s="47">
        <v>20000000</v>
      </c>
      <c r="K1372" s="16" t="s">
        <v>62</v>
      </c>
      <c r="L1372" s="3" t="s">
        <v>60</v>
      </c>
      <c r="M1372" s="3" t="s">
        <v>71</v>
      </c>
      <c r="N1372" s="3" t="s">
        <v>72</v>
      </c>
    </row>
    <row r="1373" spans="1:14" x14ac:dyDescent="0.3">
      <c r="A1373" s="36" t="s">
        <v>37</v>
      </c>
      <c r="B1373" s="13">
        <v>116</v>
      </c>
      <c r="C1373" s="48" t="str">
        <f t="shared" si="52"/>
        <v>P.L. 116-94</v>
      </c>
      <c r="D1373" s="3" t="s">
        <v>1947</v>
      </c>
      <c r="E1373" s="3" t="s">
        <v>2580</v>
      </c>
      <c r="F1373" s="3" t="s">
        <v>2581</v>
      </c>
      <c r="G1373" s="48" t="str">
        <f>HYPERLINK("https://uscode.house.gov/view.xhtml?req=granuleid:USC-prelim-title42-section300x-26&amp;num=0&amp;edition=prelim", "42 U.S.C. 300x-26")</f>
        <v>42 U.S.C. 300x-26</v>
      </c>
      <c r="H1373" s="46">
        <v>45565</v>
      </c>
      <c r="I1373" s="13">
        <v>2024</v>
      </c>
      <c r="J1373" s="47">
        <v>18581000</v>
      </c>
      <c r="K1373" s="16" t="s">
        <v>62</v>
      </c>
      <c r="L1373" s="3" t="s">
        <v>60</v>
      </c>
      <c r="M1373" s="3" t="s">
        <v>71</v>
      </c>
      <c r="N1373" s="3" t="s">
        <v>72</v>
      </c>
    </row>
    <row r="1374" spans="1:14" x14ac:dyDescent="0.3">
      <c r="A1374" s="36" t="s">
        <v>37</v>
      </c>
      <c r="B1374" s="13">
        <v>116</v>
      </c>
      <c r="C1374" s="48" t="str">
        <f t="shared" si="52"/>
        <v>P.L. 116-94</v>
      </c>
      <c r="D1374" s="3" t="s">
        <v>1947</v>
      </c>
      <c r="E1374" s="3" t="s">
        <v>2582</v>
      </c>
      <c r="F1374" s="3" t="s">
        <v>2583</v>
      </c>
      <c r="G1374" s="49"/>
      <c r="H1374" s="46">
        <v>45199</v>
      </c>
      <c r="I1374" s="13">
        <v>2023</v>
      </c>
      <c r="J1374" s="47">
        <v>60000000</v>
      </c>
      <c r="K1374" s="16" t="s">
        <v>62</v>
      </c>
      <c r="L1374" s="3" t="s">
        <v>229</v>
      </c>
      <c r="M1374" s="3" t="s">
        <v>157</v>
      </c>
      <c r="N1374" s="3" t="s">
        <v>55</v>
      </c>
    </row>
    <row r="1375" spans="1:14" x14ac:dyDescent="0.3">
      <c r="A1375" s="36" t="s">
        <v>37</v>
      </c>
      <c r="B1375" s="13">
        <v>116</v>
      </c>
      <c r="C1375" s="48" t="str">
        <f t="shared" si="52"/>
        <v>P.L. 116-94</v>
      </c>
      <c r="D1375" s="3" t="s">
        <v>1947</v>
      </c>
      <c r="E1375" s="3" t="s">
        <v>2584</v>
      </c>
      <c r="F1375" s="3" t="s">
        <v>2585</v>
      </c>
      <c r="G1375" s="49"/>
      <c r="H1375" s="46">
        <v>44104</v>
      </c>
      <c r="I1375" s="13">
        <v>2020</v>
      </c>
      <c r="J1375" s="47">
        <v>400000000</v>
      </c>
      <c r="K1375" s="16" t="s">
        <v>62</v>
      </c>
      <c r="L1375" s="3" t="s">
        <v>80</v>
      </c>
      <c r="M1375" s="3" t="s">
        <v>81</v>
      </c>
      <c r="N1375" s="3" t="s">
        <v>82</v>
      </c>
    </row>
    <row r="1376" spans="1:14" x14ac:dyDescent="0.3">
      <c r="A1376" s="36" t="s">
        <v>37</v>
      </c>
      <c r="B1376" s="13">
        <v>116</v>
      </c>
      <c r="C1376" s="48" t="str">
        <f t="shared" si="52"/>
        <v>P.L. 116-94</v>
      </c>
      <c r="D1376" s="3" t="s">
        <v>1947</v>
      </c>
      <c r="E1376" s="3" t="s">
        <v>2586</v>
      </c>
      <c r="F1376" s="3" t="s">
        <v>2587</v>
      </c>
      <c r="G1376" s="49"/>
      <c r="H1376" s="46">
        <v>44104</v>
      </c>
      <c r="I1376" s="13">
        <v>2020</v>
      </c>
      <c r="J1376" s="47">
        <v>17500000</v>
      </c>
      <c r="K1376" s="16" t="s">
        <v>62</v>
      </c>
      <c r="L1376" s="3" t="s">
        <v>80</v>
      </c>
      <c r="M1376" s="3" t="s">
        <v>81</v>
      </c>
      <c r="N1376" s="3" t="s">
        <v>82</v>
      </c>
    </row>
    <row r="1377" spans="1:14" x14ac:dyDescent="0.3">
      <c r="A1377" s="36" t="s">
        <v>37</v>
      </c>
      <c r="B1377" s="13">
        <v>116</v>
      </c>
      <c r="C1377" s="48" t="str">
        <f t="shared" si="52"/>
        <v>P.L. 116-94</v>
      </c>
      <c r="D1377" s="3" t="s">
        <v>1947</v>
      </c>
      <c r="E1377" s="3" t="s">
        <v>2588</v>
      </c>
      <c r="F1377" s="3" t="s">
        <v>2589</v>
      </c>
      <c r="G1377" s="49"/>
      <c r="H1377" s="46">
        <v>44104</v>
      </c>
      <c r="I1377" s="13">
        <v>2020</v>
      </c>
      <c r="J1377" s="47">
        <v>3000000</v>
      </c>
      <c r="K1377" s="16" t="s">
        <v>62</v>
      </c>
      <c r="L1377" s="3" t="s">
        <v>80</v>
      </c>
      <c r="M1377" s="3" t="s">
        <v>81</v>
      </c>
      <c r="N1377" s="3" t="s">
        <v>82</v>
      </c>
    </row>
    <row r="1378" spans="1:14" x14ac:dyDescent="0.3">
      <c r="A1378" s="36" t="s">
        <v>37</v>
      </c>
      <c r="B1378" s="13">
        <v>116</v>
      </c>
      <c r="C1378" s="48" t="str">
        <f t="shared" si="52"/>
        <v>P.L. 116-94</v>
      </c>
      <c r="D1378" s="3" t="s">
        <v>1947</v>
      </c>
      <c r="E1378" s="3" t="s">
        <v>2590</v>
      </c>
      <c r="F1378" s="3" t="s">
        <v>2591</v>
      </c>
      <c r="G1378" s="49"/>
      <c r="H1378" s="46">
        <v>44834</v>
      </c>
      <c r="I1378" s="13">
        <v>2022</v>
      </c>
      <c r="J1378" s="47">
        <v>1800000</v>
      </c>
      <c r="K1378" s="16" t="s">
        <v>62</v>
      </c>
      <c r="L1378" s="3" t="s">
        <v>80</v>
      </c>
      <c r="M1378" s="3" t="s">
        <v>81</v>
      </c>
      <c r="N1378" s="3" t="s">
        <v>82</v>
      </c>
    </row>
    <row r="1379" spans="1:14" x14ac:dyDescent="0.3">
      <c r="A1379" s="36" t="s">
        <v>37</v>
      </c>
      <c r="B1379" s="13">
        <v>116</v>
      </c>
      <c r="C1379" s="48" t="str">
        <f t="shared" si="52"/>
        <v>P.L. 116-94</v>
      </c>
      <c r="D1379" s="3" t="s">
        <v>1947</v>
      </c>
      <c r="E1379" s="3" t="s">
        <v>2590</v>
      </c>
      <c r="F1379" s="3" t="s">
        <v>2592</v>
      </c>
      <c r="G1379" s="49"/>
      <c r="H1379" s="46">
        <v>44834</v>
      </c>
      <c r="I1379" s="13">
        <v>2022</v>
      </c>
      <c r="J1379" s="47">
        <v>750000</v>
      </c>
      <c r="K1379" s="16" t="s">
        <v>62</v>
      </c>
      <c r="L1379" s="3" t="s">
        <v>80</v>
      </c>
      <c r="M1379" s="3" t="s">
        <v>81</v>
      </c>
      <c r="N1379" s="3" t="s">
        <v>82</v>
      </c>
    </row>
    <row r="1380" spans="1:14" x14ac:dyDescent="0.3">
      <c r="A1380" s="36" t="s">
        <v>37</v>
      </c>
      <c r="B1380" s="13">
        <v>116</v>
      </c>
      <c r="C1380" s="48" t="str">
        <f t="shared" si="52"/>
        <v>P.L. 116-94</v>
      </c>
      <c r="D1380" s="3" t="s">
        <v>1947</v>
      </c>
      <c r="E1380" s="3" t="s">
        <v>2593</v>
      </c>
      <c r="F1380" s="3" t="s">
        <v>2594</v>
      </c>
      <c r="G1380" s="49"/>
      <c r="H1380" s="46">
        <v>44469</v>
      </c>
      <c r="I1380" s="13">
        <v>2021</v>
      </c>
      <c r="J1380" s="47">
        <v>3000000</v>
      </c>
      <c r="K1380" s="16" t="s">
        <v>62</v>
      </c>
      <c r="L1380" s="3" t="s">
        <v>80</v>
      </c>
      <c r="M1380" s="3" t="s">
        <v>81</v>
      </c>
      <c r="N1380" s="3" t="s">
        <v>82</v>
      </c>
    </row>
    <row r="1381" spans="1:14" x14ac:dyDescent="0.3">
      <c r="A1381" s="36" t="s">
        <v>37</v>
      </c>
      <c r="B1381" s="13">
        <v>116</v>
      </c>
      <c r="C1381" s="48" t="str">
        <f t="shared" si="52"/>
        <v>P.L. 116-94</v>
      </c>
      <c r="D1381" s="3" t="s">
        <v>1947</v>
      </c>
      <c r="E1381" s="3" t="s">
        <v>2595</v>
      </c>
      <c r="F1381" s="3" t="s">
        <v>2596</v>
      </c>
      <c r="G1381" s="49"/>
      <c r="H1381" s="46">
        <v>45565</v>
      </c>
      <c r="I1381" s="13">
        <v>2024</v>
      </c>
      <c r="J1381" s="47">
        <v>200000000</v>
      </c>
      <c r="K1381" s="16" t="s">
        <v>62</v>
      </c>
      <c r="L1381" s="3" t="s">
        <v>80</v>
      </c>
      <c r="M1381" s="3" t="s">
        <v>81</v>
      </c>
      <c r="N1381" s="3" t="s">
        <v>82</v>
      </c>
    </row>
    <row r="1382" spans="1:14" x14ac:dyDescent="0.3">
      <c r="A1382" s="36" t="s">
        <v>37</v>
      </c>
      <c r="B1382" s="13">
        <v>116</v>
      </c>
      <c r="C1382" s="48" t="str">
        <f t="shared" si="52"/>
        <v>P.L. 116-94</v>
      </c>
      <c r="D1382" s="3" t="s">
        <v>1947</v>
      </c>
      <c r="E1382" s="3" t="s">
        <v>2595</v>
      </c>
      <c r="F1382" s="3" t="s">
        <v>2597</v>
      </c>
      <c r="G1382" s="49"/>
      <c r="H1382" s="46">
        <v>45565</v>
      </c>
      <c r="I1382" s="13">
        <v>2024</v>
      </c>
      <c r="J1382" s="47">
        <v>30000000</v>
      </c>
      <c r="K1382" s="16" t="s">
        <v>62</v>
      </c>
      <c r="L1382" s="3" t="s">
        <v>80</v>
      </c>
      <c r="M1382" s="3" t="s">
        <v>81</v>
      </c>
      <c r="N1382" s="3" t="s">
        <v>82</v>
      </c>
    </row>
    <row r="1383" spans="1:14" x14ac:dyDescent="0.3">
      <c r="A1383" s="36" t="s">
        <v>37</v>
      </c>
      <c r="B1383" s="13">
        <v>116</v>
      </c>
      <c r="C1383" s="48" t="str">
        <f t="shared" si="52"/>
        <v>P.L. 116-94</v>
      </c>
      <c r="D1383" s="3" t="s">
        <v>1947</v>
      </c>
      <c r="E1383" s="3" t="s">
        <v>2598</v>
      </c>
      <c r="F1383" s="3" t="s">
        <v>2599</v>
      </c>
      <c r="G1383" s="48" t="str">
        <f>HYPERLINK("https://uscode.house.gov/view.xhtml?req=granuleid:USC-prelim-title22-section2395a&amp;num=0&amp;edition=prelim", "22 U.S.C. 2395a(i)")</f>
        <v>22 U.S.C. 2395a(i)</v>
      </c>
      <c r="H1383" s="46">
        <v>44469</v>
      </c>
      <c r="I1383" s="13">
        <v>2021</v>
      </c>
      <c r="J1383" s="16" t="s">
        <v>12</v>
      </c>
      <c r="K1383" s="47">
        <v>77000000</v>
      </c>
      <c r="L1383" s="3" t="s">
        <v>80</v>
      </c>
      <c r="M1383" s="3" t="s">
        <v>81</v>
      </c>
      <c r="N1383" s="3" t="s">
        <v>82</v>
      </c>
    </row>
    <row r="1384" spans="1:14" x14ac:dyDescent="0.3">
      <c r="A1384" s="36" t="s">
        <v>37</v>
      </c>
      <c r="B1384" s="13">
        <v>116</v>
      </c>
      <c r="C1384" s="48" t="str">
        <f t="shared" si="52"/>
        <v>P.L. 116-94</v>
      </c>
      <c r="D1384" s="3" t="s">
        <v>1947</v>
      </c>
      <c r="E1384" s="3" t="s">
        <v>2600</v>
      </c>
      <c r="F1384" s="3" t="s">
        <v>2601</v>
      </c>
      <c r="G1384" s="49"/>
      <c r="H1384" s="46">
        <v>45930</v>
      </c>
      <c r="I1384" s="13">
        <v>2025</v>
      </c>
      <c r="J1384" s="47">
        <v>15000000</v>
      </c>
      <c r="K1384" s="16" t="s">
        <v>62</v>
      </c>
      <c r="L1384" s="3" t="s">
        <v>47</v>
      </c>
      <c r="M1384" s="3" t="s">
        <v>48</v>
      </c>
      <c r="N1384" s="3" t="s">
        <v>49</v>
      </c>
    </row>
    <row r="1385" spans="1:14" x14ac:dyDescent="0.3">
      <c r="A1385" s="36" t="s">
        <v>37</v>
      </c>
      <c r="B1385" s="13">
        <v>116</v>
      </c>
      <c r="C1385" s="48" t="str">
        <f>HYPERLINK("https://uscode.house.gov/statutes/pl/116/131.pdf", "P.L. 116-131")</f>
        <v>P.L. 116-131</v>
      </c>
      <c r="D1385" s="3" t="s">
        <v>2638</v>
      </c>
      <c r="E1385" s="3" t="s">
        <v>182</v>
      </c>
      <c r="F1385" s="3" t="s">
        <v>2640</v>
      </c>
      <c r="G1385" s="48" t="str">
        <f>HYPERLINK("https://uscode.house.gov/view.xhtml?req=granuleid:USC-prelim-title42-section3020f&amp;num=0&amp;edition=prelim", "42 U.S.C. 3020f(b)(1)")</f>
        <v>42 U.S.C. 3020f(b)(1)</v>
      </c>
      <c r="H1385" s="46">
        <v>45565</v>
      </c>
      <c r="I1385" s="13">
        <v>2024</v>
      </c>
      <c r="J1385" s="47">
        <v>2753000</v>
      </c>
      <c r="K1385" s="16" t="s">
        <v>62</v>
      </c>
      <c r="L1385" s="3" t="s">
        <v>130</v>
      </c>
      <c r="M1385" s="3" t="s">
        <v>71</v>
      </c>
      <c r="N1385" s="3" t="s">
        <v>72</v>
      </c>
    </row>
    <row r="1386" spans="1:14" x14ac:dyDescent="0.3">
      <c r="A1386" s="36" t="s">
        <v>37</v>
      </c>
      <c r="B1386" s="13">
        <v>116</v>
      </c>
      <c r="C1386" s="48" t="str">
        <f>HYPERLINK("https://uscode.house.gov/statutes/pl/116/131.pdf", "P.L. 116-131")</f>
        <v>P.L. 116-131</v>
      </c>
      <c r="D1386" s="3" t="s">
        <v>2638</v>
      </c>
      <c r="E1386" s="3" t="s">
        <v>182</v>
      </c>
      <c r="F1386" s="3" t="s">
        <v>2641</v>
      </c>
      <c r="G1386" s="48" t="str">
        <f>HYPERLINK("https://uscode.house.gov/view.xhtml?req=granuleid:USC-prelim-title42-section3020f&amp;num=0&amp;edition=prelim", "42 U.S.C. 3020f(b)(2)")</f>
        <v>42 U.S.C. 3020f(b)(2)</v>
      </c>
      <c r="H1386" s="46">
        <v>45565</v>
      </c>
      <c r="I1386" s="13">
        <v>2024</v>
      </c>
      <c r="J1386" s="47">
        <v>2510000</v>
      </c>
      <c r="K1386" s="16" t="s">
        <v>62</v>
      </c>
      <c r="L1386" s="3" t="s">
        <v>130</v>
      </c>
      <c r="M1386" s="3" t="s">
        <v>71</v>
      </c>
      <c r="N1386" s="3" t="s">
        <v>72</v>
      </c>
    </row>
    <row r="1387" spans="1:14" x14ac:dyDescent="0.3">
      <c r="A1387" s="36" t="s">
        <v>37</v>
      </c>
      <c r="B1387" s="13">
        <v>116</v>
      </c>
      <c r="C1387" s="48" t="str">
        <f t="shared" ref="C1387:C1393" si="53">HYPERLINK("https://uscode.house.gov/statutes/pl/116/94.pdf", "P.L. 116-94")</f>
        <v>P.L. 116-94</v>
      </c>
      <c r="D1387" s="3" t="s">
        <v>1947</v>
      </c>
      <c r="E1387" s="3" t="s">
        <v>2605</v>
      </c>
      <c r="F1387" s="3" t="s">
        <v>2606</v>
      </c>
      <c r="G1387" s="48" t="str">
        <f>HYPERLINK("https://uscode.house.gov/view.xhtml?req=granuleid:USC-prelim-title20-section76r&amp;num=0&amp;edition=prelim", "20 U.S.C. 76r(a)(a)")</f>
        <v>20 U.S.C. 76r(a)(a)</v>
      </c>
      <c r="H1387" s="46">
        <v>45565</v>
      </c>
      <c r="I1387" s="13">
        <v>2024</v>
      </c>
      <c r="J1387" s="47">
        <v>30000000</v>
      </c>
      <c r="K1387" s="16" t="s">
        <v>62</v>
      </c>
      <c r="L1387" s="3" t="s">
        <v>109</v>
      </c>
      <c r="M1387" s="3" t="s">
        <v>67</v>
      </c>
      <c r="N1387" s="3" t="s">
        <v>49</v>
      </c>
    </row>
    <row r="1388" spans="1:14" x14ac:dyDescent="0.3">
      <c r="A1388" s="36" t="s">
        <v>37</v>
      </c>
      <c r="B1388" s="13">
        <v>116</v>
      </c>
      <c r="C1388" s="48" t="str">
        <f t="shared" si="53"/>
        <v>P.L. 116-94</v>
      </c>
      <c r="D1388" s="3" t="s">
        <v>1947</v>
      </c>
      <c r="E1388" s="3" t="s">
        <v>2605</v>
      </c>
      <c r="F1388" s="3" t="s">
        <v>2607</v>
      </c>
      <c r="G1388" s="48" t="str">
        <f>HYPERLINK("https://uscode.house.gov/view.xhtml?req=granuleid:USC-prelim-title20-section76r&amp;num=0&amp;edition=prelim", "20 U.S.C. 76r(b)")</f>
        <v>20 U.S.C. 76r(b)</v>
      </c>
      <c r="H1388" s="46">
        <v>45565</v>
      </c>
      <c r="I1388" s="13">
        <v>2024</v>
      </c>
      <c r="J1388" s="47">
        <v>21000000</v>
      </c>
      <c r="K1388" s="16" t="s">
        <v>62</v>
      </c>
      <c r="L1388" s="3" t="s">
        <v>109</v>
      </c>
      <c r="M1388" s="3" t="s">
        <v>67</v>
      </c>
      <c r="N1388" s="3" t="s">
        <v>49</v>
      </c>
    </row>
    <row r="1389" spans="1:14" x14ac:dyDescent="0.3">
      <c r="A1389" s="36" t="s">
        <v>37</v>
      </c>
      <c r="B1389" s="13">
        <v>116</v>
      </c>
      <c r="C1389" s="48" t="str">
        <f t="shared" si="53"/>
        <v>P.L. 116-94</v>
      </c>
      <c r="D1389" s="3" t="s">
        <v>1947</v>
      </c>
      <c r="E1389" s="3" t="s">
        <v>2608</v>
      </c>
      <c r="F1389" s="3" t="s">
        <v>2609</v>
      </c>
      <c r="G1389" s="48" t="str">
        <f>HYPERLINK("https://uscode.house.gov/view.xhtml?req=granuleid:USC-prelim-title54-section308103&amp;num=0&amp;edition=prelim", "54 U.S.C. 308103(f)")</f>
        <v>54 U.S.C. 308103(f)</v>
      </c>
      <c r="H1389" s="46">
        <v>47026</v>
      </c>
      <c r="I1389" s="13">
        <v>2028</v>
      </c>
      <c r="J1389" s="47">
        <v>18000000</v>
      </c>
      <c r="K1389" s="16" t="s">
        <v>62</v>
      </c>
      <c r="L1389" s="3" t="s">
        <v>47</v>
      </c>
      <c r="M1389" s="3" t="s">
        <v>48</v>
      </c>
      <c r="N1389" s="3" t="s">
        <v>49</v>
      </c>
    </row>
    <row r="1390" spans="1:14" x14ac:dyDescent="0.3">
      <c r="A1390" s="36" t="s">
        <v>37</v>
      </c>
      <c r="B1390" s="13">
        <v>116</v>
      </c>
      <c r="C1390" s="48" t="str">
        <f t="shared" si="53"/>
        <v>P.L. 116-94</v>
      </c>
      <c r="D1390" s="3" t="s">
        <v>1947</v>
      </c>
      <c r="E1390" s="3" t="s">
        <v>2610</v>
      </c>
      <c r="F1390" s="3" t="s">
        <v>2611</v>
      </c>
      <c r="G1390" s="48" t="str">
        <f>HYPERLINK("https://uscode.house.gov/view.xhtml?req=granuleid:USC-prelim-title54-section308104&amp;num=0&amp;edition=prelim", "54 U.S.C. 308104(d)")</f>
        <v>54 U.S.C. 308104(d)</v>
      </c>
      <c r="H1390" s="46">
        <v>47026</v>
      </c>
      <c r="I1390" s="13">
        <v>2028</v>
      </c>
      <c r="J1390" s="47">
        <v>1000000</v>
      </c>
      <c r="K1390" s="16" t="s">
        <v>62</v>
      </c>
      <c r="L1390" s="3" t="s">
        <v>47</v>
      </c>
      <c r="M1390" s="3" t="s">
        <v>48</v>
      </c>
      <c r="N1390" s="3" t="s">
        <v>49</v>
      </c>
    </row>
    <row r="1391" spans="1:14" x14ac:dyDescent="0.3">
      <c r="A1391" s="36" t="s">
        <v>37</v>
      </c>
      <c r="B1391" s="13">
        <v>116</v>
      </c>
      <c r="C1391" s="48" t="str">
        <f t="shared" si="53"/>
        <v>P.L. 116-94</v>
      </c>
      <c r="D1391" s="3" t="s">
        <v>1947</v>
      </c>
      <c r="E1391" s="3" t="s">
        <v>2610</v>
      </c>
      <c r="F1391" s="3" t="s">
        <v>2612</v>
      </c>
      <c r="G1391" s="48" t="str">
        <f>HYPERLINK("https://uscode.house.gov/view.xhtml?req=granuleid:USC-prelim-title54-section308105&amp;num=0&amp;edition=prelim", "54 U.S.C. 308105(e)")</f>
        <v>54 U.S.C. 308105(e)</v>
      </c>
      <c r="H1391" s="46">
        <v>47026</v>
      </c>
      <c r="I1391" s="13">
        <v>2028</v>
      </c>
      <c r="J1391" s="47">
        <v>1000000</v>
      </c>
      <c r="K1391" s="16" t="s">
        <v>62</v>
      </c>
      <c r="L1391" s="3" t="s">
        <v>47</v>
      </c>
      <c r="M1391" s="3" t="s">
        <v>48</v>
      </c>
      <c r="N1391" s="3" t="s">
        <v>49</v>
      </c>
    </row>
    <row r="1392" spans="1:14" x14ac:dyDescent="0.3">
      <c r="A1392" s="36" t="s">
        <v>37</v>
      </c>
      <c r="B1392" s="13">
        <v>116</v>
      </c>
      <c r="C1392" s="48" t="str">
        <f t="shared" si="53"/>
        <v>P.L. 116-94</v>
      </c>
      <c r="D1392" s="3" t="s">
        <v>1947</v>
      </c>
      <c r="E1392" s="3" t="s">
        <v>2613</v>
      </c>
      <c r="F1392" s="3" t="s">
        <v>2614</v>
      </c>
      <c r="G1392" s="49"/>
      <c r="H1392" s="46">
        <v>44104</v>
      </c>
      <c r="I1392" s="13">
        <v>2020</v>
      </c>
      <c r="J1392" s="47">
        <v>6000000</v>
      </c>
      <c r="K1392" s="16" t="s">
        <v>62</v>
      </c>
      <c r="L1392" s="3" t="s">
        <v>47</v>
      </c>
      <c r="M1392" s="3" t="s">
        <v>48</v>
      </c>
      <c r="N1392" s="3" t="s">
        <v>58</v>
      </c>
    </row>
    <row r="1393" spans="1:14" x14ac:dyDescent="0.3">
      <c r="A1393" s="36" t="s">
        <v>37</v>
      </c>
      <c r="B1393" s="13">
        <v>116</v>
      </c>
      <c r="C1393" s="48" t="str">
        <f t="shared" si="53"/>
        <v>P.L. 116-94</v>
      </c>
      <c r="D1393" s="3" t="s">
        <v>1947</v>
      </c>
      <c r="E1393" s="3" t="s">
        <v>2615</v>
      </c>
      <c r="F1393" s="3" t="s">
        <v>2616</v>
      </c>
      <c r="G1393" s="48" t="str">
        <f>HYPERLINK("https://uscode.house.gov/view.xhtml?req=granuleid:USC-prelim-title12-section635&amp;num=0&amp;edition=prelim", "12 U.S.C. 635")</f>
        <v>12 U.S.C. 635</v>
      </c>
      <c r="H1393" s="46">
        <v>46660</v>
      </c>
      <c r="I1393" s="13">
        <v>2027</v>
      </c>
      <c r="J1393" s="16" t="s">
        <v>12</v>
      </c>
      <c r="K1393" s="16" t="s">
        <v>62</v>
      </c>
      <c r="L1393" s="3" t="s">
        <v>80</v>
      </c>
      <c r="M1393" s="3" t="s">
        <v>81</v>
      </c>
      <c r="N1393" s="3" t="s">
        <v>82</v>
      </c>
    </row>
    <row r="1394" spans="1:14" x14ac:dyDescent="0.3">
      <c r="A1394" s="36" t="s">
        <v>37</v>
      </c>
      <c r="B1394" s="13">
        <v>116</v>
      </c>
      <c r="C1394" s="48" t="str">
        <f>HYPERLINK("https://uscode.house.gov/statutes/pl/116/95.pdf", "P.L. 116-95")</f>
        <v>P.L. 116-95</v>
      </c>
      <c r="D1394" s="3" t="s">
        <v>2617</v>
      </c>
      <c r="F1394" s="3" t="s">
        <v>2618</v>
      </c>
      <c r="G1394" s="48" t="str">
        <f>HYPERLINK("https://uscode.house.gov/view.xhtml?req=granuleid:USC-prelim-title42-section2021a&amp;num=0&amp;edition=prelim", "42 U.S.C. 2021a(note)")</f>
        <v>42 U.S.C. 2021a(note)</v>
      </c>
      <c r="H1394" s="46">
        <v>46295</v>
      </c>
      <c r="I1394" s="13">
        <v>2026</v>
      </c>
      <c r="J1394" s="47">
        <v>75000000</v>
      </c>
      <c r="K1394" s="16" t="s">
        <v>62</v>
      </c>
      <c r="L1394" s="3" t="s">
        <v>60</v>
      </c>
      <c r="M1394" s="3" t="s">
        <v>48</v>
      </c>
      <c r="N1394" s="3" t="s">
        <v>58</v>
      </c>
    </row>
    <row r="1395" spans="1:14" x14ac:dyDescent="0.3">
      <c r="A1395" s="36" t="s">
        <v>37</v>
      </c>
      <c r="B1395" s="13">
        <v>116</v>
      </c>
      <c r="C1395" s="48" t="str">
        <f>HYPERLINK("https://uscode.house.gov/statutes/pl/116/99.pdf", "P.L. 116-99")</f>
        <v>P.L. 116-99</v>
      </c>
      <c r="D1395" s="3" t="s">
        <v>2619</v>
      </c>
      <c r="E1395" s="3" t="s">
        <v>222</v>
      </c>
      <c r="F1395" s="3" t="s">
        <v>2620</v>
      </c>
      <c r="G1395" s="49"/>
      <c r="H1395" s="46">
        <v>45930</v>
      </c>
      <c r="I1395" s="13">
        <v>2025</v>
      </c>
      <c r="J1395" s="16" t="s">
        <v>12</v>
      </c>
      <c r="K1395" s="16" t="s">
        <v>62</v>
      </c>
      <c r="L1395" s="3" t="s">
        <v>47</v>
      </c>
      <c r="M1395" s="3" t="s">
        <v>236</v>
      </c>
      <c r="N1395" s="3" t="s">
        <v>49</v>
      </c>
    </row>
    <row r="1396" spans="1:14" x14ac:dyDescent="0.3">
      <c r="A1396" s="36" t="s">
        <v>37</v>
      </c>
      <c r="B1396" s="13">
        <v>116</v>
      </c>
      <c r="C1396" s="48" t="str">
        <f>HYPERLINK("https://uscode.house.gov/statutes/pl/116/131.pdf", "P.L. 116-131")</f>
        <v>P.L. 116-131</v>
      </c>
      <c r="D1396" s="3" t="s">
        <v>2638</v>
      </c>
      <c r="E1396" s="3" t="s">
        <v>182</v>
      </c>
      <c r="F1396" s="3" t="s">
        <v>2642</v>
      </c>
      <c r="G1396" s="48" t="str">
        <f>HYPERLINK("https://uscode.house.gov/view.xhtml?req=granuleid:USC-prelim-title42-section3012&amp;num=0&amp;edition=prelim", "42 U.S.C. 3012(b)(3)")</f>
        <v>42 U.S.C. 3012(b)(3)</v>
      </c>
      <c r="H1396" s="46">
        <v>45565</v>
      </c>
      <c r="I1396" s="13">
        <v>2024</v>
      </c>
      <c r="J1396" s="47">
        <v>1732000</v>
      </c>
      <c r="K1396" s="16" t="s">
        <v>62</v>
      </c>
      <c r="L1396" s="3" t="s">
        <v>130</v>
      </c>
      <c r="M1396" s="3" t="s">
        <v>71</v>
      </c>
      <c r="N1396" s="3" t="s">
        <v>72</v>
      </c>
    </row>
    <row r="1397" spans="1:14" x14ac:dyDescent="0.3">
      <c r="A1397" s="36" t="s">
        <v>37</v>
      </c>
      <c r="B1397" s="13">
        <v>116</v>
      </c>
      <c r="C1397" s="48" t="str">
        <f>HYPERLINK("https://uscode.house.gov/statutes/pl/116/104.pdf", "P.L. 116-104")</f>
        <v>P.L. 116-104</v>
      </c>
      <c r="D1397" s="3" t="s">
        <v>2623</v>
      </c>
      <c r="E1397" s="3" t="s">
        <v>2624</v>
      </c>
      <c r="F1397" s="3" t="s">
        <v>2625</v>
      </c>
      <c r="G1397" s="48" t="str">
        <f>HYPERLINK("https://uscode.house.gov/view.xhtml?req=granuleid:USC-prelim-title34-section40701&amp;num=0&amp;edition=prelim", "34 U.S.C. 40701")</f>
        <v>34 U.S.C. 40701</v>
      </c>
      <c r="H1397" s="46">
        <v>45565</v>
      </c>
      <c r="I1397" s="13">
        <v>2024</v>
      </c>
      <c r="J1397" s="47">
        <v>151000000</v>
      </c>
      <c r="K1397" s="16" t="s">
        <v>62</v>
      </c>
      <c r="L1397" s="3" t="s">
        <v>41</v>
      </c>
      <c r="M1397" s="3" t="s">
        <v>42</v>
      </c>
      <c r="N1397" s="3" t="s">
        <v>43</v>
      </c>
    </row>
    <row r="1398" spans="1:14" x14ac:dyDescent="0.3">
      <c r="A1398" s="36" t="s">
        <v>37</v>
      </c>
      <c r="B1398" s="13">
        <v>116</v>
      </c>
      <c r="C1398" s="48" t="str">
        <f>HYPERLINK("https://uscode.house.gov/statutes/pl/116/104.pdf", "P.L. 116-104")</f>
        <v>P.L. 116-104</v>
      </c>
      <c r="D1398" s="3" t="s">
        <v>2623</v>
      </c>
      <c r="E1398" s="3" t="s">
        <v>296</v>
      </c>
      <c r="F1398" s="3" t="s">
        <v>2626</v>
      </c>
      <c r="G1398" s="48" t="str">
        <f>HYPERLINK("https://uscode.house.gov/view.xhtml?req=granuleid:USC-prelim-title34-section40722&amp;num=0&amp;edition=prelim", "34 U.S.C. 40722(b)")</f>
        <v>34 U.S.C. 40722(b)</v>
      </c>
      <c r="H1398" s="46">
        <v>45565</v>
      </c>
      <c r="I1398" s="13">
        <v>2024</v>
      </c>
      <c r="J1398" s="47">
        <v>12500000</v>
      </c>
      <c r="K1398" s="16" t="s">
        <v>62</v>
      </c>
      <c r="L1398" s="3" t="s">
        <v>41</v>
      </c>
      <c r="M1398" s="3" t="s">
        <v>42</v>
      </c>
      <c r="N1398" s="3" t="s">
        <v>43</v>
      </c>
    </row>
    <row r="1399" spans="1:14" x14ac:dyDescent="0.3">
      <c r="A1399" s="36" t="s">
        <v>37</v>
      </c>
      <c r="B1399" s="13">
        <v>116</v>
      </c>
      <c r="C1399" s="48" t="str">
        <f>HYPERLINK("https://uscode.house.gov/statutes/pl/116/108.pdf", "P.L. 116-108")</f>
        <v>P.L. 116-108</v>
      </c>
      <c r="D1399" s="3" t="s">
        <v>2627</v>
      </c>
      <c r="E1399" s="3" t="s">
        <v>222</v>
      </c>
      <c r="F1399" s="3" t="s">
        <v>2628</v>
      </c>
      <c r="G1399" s="48" t="str">
        <f>HYPERLINK("https://uscode.house.gov/view.xhtml?req=granuleid:USC-prelim-title6-section609a&amp;num=0&amp;edition=prelim", "6 U.S.C. 609a")</f>
        <v>6 U.S.C. 609a</v>
      </c>
      <c r="H1399" s="46">
        <v>45565</v>
      </c>
      <c r="I1399" s="13">
        <v>2024</v>
      </c>
      <c r="J1399" s="47">
        <v>75000000</v>
      </c>
      <c r="K1399" s="16" t="s">
        <v>62</v>
      </c>
      <c r="L1399" s="3" t="s">
        <v>642</v>
      </c>
      <c r="M1399" s="3" t="s">
        <v>230</v>
      </c>
      <c r="N1399" s="3" t="s">
        <v>122</v>
      </c>
    </row>
    <row r="1400" spans="1:14" x14ac:dyDescent="0.3">
      <c r="A1400" s="36" t="s">
        <v>37</v>
      </c>
      <c r="B1400" s="13">
        <v>116</v>
      </c>
      <c r="C1400" s="48" t="str">
        <f>HYPERLINK("https://uscode.house.gov/statutes/pl/116/122.pdf", "P.L. 116-122")</f>
        <v>P.L. 116-122</v>
      </c>
      <c r="D1400" s="3" t="s">
        <v>2629</v>
      </c>
      <c r="E1400" s="3" t="s">
        <v>2630</v>
      </c>
      <c r="F1400" s="3" t="s">
        <v>2631</v>
      </c>
      <c r="G1400" s="48" t="str">
        <f>HYPERLINK("https://uscode.house.gov/view.xhtml?req=granuleid:USC-prelim-title6-section211&amp;num=0&amp;edition=prelim", "6 U.S.C. 211(note)")</f>
        <v>6 U.S.C. 211(note)</v>
      </c>
      <c r="H1400" s="46">
        <v>44834</v>
      </c>
      <c r="I1400" s="13">
        <v>2022</v>
      </c>
      <c r="J1400" s="47">
        <v>40500000</v>
      </c>
      <c r="K1400" s="16" t="s">
        <v>62</v>
      </c>
      <c r="L1400" s="3" t="s">
        <v>642</v>
      </c>
      <c r="M1400" s="3" t="s">
        <v>230</v>
      </c>
      <c r="N1400" s="3" t="s">
        <v>122</v>
      </c>
    </row>
    <row r="1401" spans="1:14" x14ac:dyDescent="0.3">
      <c r="A1401" s="36" t="s">
        <v>37</v>
      </c>
      <c r="B1401" s="13">
        <v>116</v>
      </c>
      <c r="C1401" s="48" t="str">
        <f>HYPERLINK("https://uscode.house.gov/statutes/pl/116/122.pdf", "P.L. 116-122")</f>
        <v>P.L. 116-122</v>
      </c>
      <c r="D1401" s="3" t="s">
        <v>2629</v>
      </c>
      <c r="E1401" s="3" t="s">
        <v>2632</v>
      </c>
      <c r="F1401" s="3" t="s">
        <v>2633</v>
      </c>
      <c r="G1401" s="48" t="str">
        <f>HYPERLINK("https://uscode.house.gov/view.xhtml?req=granuleid:USC-prelim-title6-section211&amp;num=0&amp;edition=prelim", "6 U.S.C. 211(note)")</f>
        <v>6 U.S.C. 211(note)</v>
      </c>
      <c r="H1401" s="46">
        <v>44834</v>
      </c>
      <c r="I1401" s="13">
        <v>2022</v>
      </c>
      <c r="J1401" s="47">
        <v>38000000</v>
      </c>
      <c r="K1401" s="16" t="s">
        <v>62</v>
      </c>
      <c r="L1401" s="3" t="s">
        <v>642</v>
      </c>
      <c r="M1401" s="3" t="s">
        <v>230</v>
      </c>
      <c r="N1401" s="3" t="s">
        <v>122</v>
      </c>
    </row>
    <row r="1402" spans="1:14" x14ac:dyDescent="0.3">
      <c r="A1402" s="36" t="s">
        <v>37</v>
      </c>
      <c r="B1402" s="13">
        <v>116</v>
      </c>
      <c r="C1402" s="48" t="str">
        <f>HYPERLINK("https://uscode.house.gov/statutes/pl/116/122.pdf", "P.L. 116-122")</f>
        <v>P.L. 116-122</v>
      </c>
      <c r="D1402" s="3" t="s">
        <v>2629</v>
      </c>
      <c r="E1402" s="3" t="s">
        <v>2634</v>
      </c>
      <c r="F1402" s="3" t="s">
        <v>2635</v>
      </c>
      <c r="G1402" s="48" t="str">
        <f>HYPERLINK("https://uscode.house.gov/view.xhtml?req=granuleid:USC-prelim-title6-section211&amp;num=0&amp;edition=prelim", "6 U.S.C. 211(note)")</f>
        <v>6 U.S.C. 211(note)</v>
      </c>
      <c r="H1402" s="46">
        <v>44834</v>
      </c>
      <c r="I1402" s="13">
        <v>2022</v>
      </c>
      <c r="J1402" s="47">
        <v>12200000</v>
      </c>
      <c r="K1402" s="16" t="s">
        <v>62</v>
      </c>
      <c r="L1402" s="3" t="s">
        <v>642</v>
      </c>
      <c r="M1402" s="3" t="s">
        <v>230</v>
      </c>
      <c r="N1402" s="3" t="s">
        <v>122</v>
      </c>
    </row>
    <row r="1403" spans="1:14" x14ac:dyDescent="0.3">
      <c r="A1403" s="36" t="s">
        <v>37</v>
      </c>
      <c r="B1403" s="13">
        <v>116</v>
      </c>
      <c r="C1403" s="48" t="str">
        <f>HYPERLINK("https://uscode.house.gov/statutes/pl/116/122.pdf", "P.L. 116-122")</f>
        <v>P.L. 116-122</v>
      </c>
      <c r="D1403" s="3" t="s">
        <v>2629</v>
      </c>
      <c r="E1403" s="3" t="s">
        <v>2636</v>
      </c>
      <c r="F1403" s="3" t="s">
        <v>2637</v>
      </c>
      <c r="G1403" s="48" t="str">
        <f>HYPERLINK("https://uscode.house.gov/view.xhtml?req=granuleid:USC-prelim-title6-section211&amp;num=0&amp;edition=prelim", "6 U.S.C. 211(note)")</f>
        <v>6 U.S.C. 211(note)</v>
      </c>
      <c r="H1403" s="46">
        <v>44834</v>
      </c>
      <c r="I1403" s="13">
        <v>2022</v>
      </c>
      <c r="J1403" s="47">
        <v>6000000</v>
      </c>
      <c r="K1403" s="16" t="s">
        <v>62</v>
      </c>
      <c r="L1403" s="3" t="s">
        <v>642</v>
      </c>
      <c r="M1403" s="3" t="s">
        <v>230</v>
      </c>
      <c r="N1403" s="3" t="s">
        <v>122</v>
      </c>
    </row>
    <row r="1404" spans="1:14" x14ac:dyDescent="0.3">
      <c r="A1404" s="36" t="s">
        <v>37</v>
      </c>
      <c r="B1404" s="13">
        <v>116</v>
      </c>
      <c r="C1404" s="48" t="str">
        <f t="shared" ref="C1404:C1417" si="54">HYPERLINK("https://uscode.house.gov/statutes/pl/116/131.pdf", "P.L. 116-131")</f>
        <v>P.L. 116-131</v>
      </c>
      <c r="D1404" s="3" t="s">
        <v>2638</v>
      </c>
      <c r="E1404" s="3" t="s">
        <v>182</v>
      </c>
      <c r="F1404" s="3" t="s">
        <v>2643</v>
      </c>
      <c r="G1404" s="48" t="str">
        <f>HYPERLINK("https://uscode.house.gov/view.xhtml?req=granuleid:USC-prelim-title42-section3012&amp;num=0&amp;edition=prelim", "42 U.S.C. 3012(b)(4)")</f>
        <v>42 U.S.C. 3012(b)(4)</v>
      </c>
      <c r="H1404" s="46">
        <v>45565</v>
      </c>
      <c r="I1404" s="13">
        <v>2024</v>
      </c>
      <c r="J1404" s="47">
        <v>10968000</v>
      </c>
      <c r="K1404" s="16" t="s">
        <v>62</v>
      </c>
      <c r="L1404" s="3" t="s">
        <v>130</v>
      </c>
      <c r="M1404" s="3" t="s">
        <v>71</v>
      </c>
      <c r="N1404" s="3" t="s">
        <v>72</v>
      </c>
    </row>
    <row r="1405" spans="1:14" x14ac:dyDescent="0.3">
      <c r="A1405" s="36" t="s">
        <v>37</v>
      </c>
      <c r="B1405" s="13">
        <v>116</v>
      </c>
      <c r="C1405" s="48" t="str">
        <f t="shared" si="54"/>
        <v>P.L. 116-131</v>
      </c>
      <c r="D1405" s="3" t="s">
        <v>2638</v>
      </c>
      <c r="E1405" s="3" t="s">
        <v>175</v>
      </c>
      <c r="F1405" s="3" t="s">
        <v>2644</v>
      </c>
      <c r="G1405" s="48" t="str">
        <f>HYPERLINK("https://uscode.house.gov/view.xhtml?req=granuleid:USC-prelim-title42-section3023&amp;num=0&amp;edition=prelim", "42 U.S.C. 3023(a)(1)")</f>
        <v>42 U.S.C. 3023(a)(1)</v>
      </c>
      <c r="H1405" s="46">
        <v>45565</v>
      </c>
      <c r="I1405" s="13">
        <v>2024</v>
      </c>
      <c r="J1405" s="47">
        <v>520177000</v>
      </c>
      <c r="K1405" s="16" t="s">
        <v>62</v>
      </c>
      <c r="L1405" s="3" t="s">
        <v>130</v>
      </c>
      <c r="M1405" s="3" t="s">
        <v>71</v>
      </c>
      <c r="N1405" s="3" t="s">
        <v>72</v>
      </c>
    </row>
    <row r="1406" spans="1:14" x14ac:dyDescent="0.3">
      <c r="A1406" s="36" t="s">
        <v>37</v>
      </c>
      <c r="B1406" s="13">
        <v>116</v>
      </c>
      <c r="C1406" s="48" t="str">
        <f t="shared" si="54"/>
        <v>P.L. 116-131</v>
      </c>
      <c r="D1406" s="3" t="s">
        <v>2638</v>
      </c>
      <c r="E1406" s="3" t="s">
        <v>175</v>
      </c>
      <c r="F1406" s="3" t="s">
        <v>2645</v>
      </c>
      <c r="G1406" s="48" t="str">
        <f>HYPERLINK("https://uscode.house.gov/view.xhtml?req=granuleid:USC-prelim-title42-section3023&amp;num=0&amp;edition=prelim", "42 U.S.C. 3023(b)(1)")</f>
        <v>42 U.S.C. 3023(b)(1)</v>
      </c>
      <c r="H1406" s="46">
        <v>45565</v>
      </c>
      <c r="I1406" s="13">
        <v>2024</v>
      </c>
      <c r="J1406" s="47">
        <v>669133000</v>
      </c>
      <c r="K1406" s="16" t="s">
        <v>62</v>
      </c>
      <c r="L1406" s="3" t="s">
        <v>130</v>
      </c>
      <c r="M1406" s="3" t="s">
        <v>71</v>
      </c>
      <c r="N1406" s="3" t="s">
        <v>72</v>
      </c>
    </row>
    <row r="1407" spans="1:14" x14ac:dyDescent="0.3">
      <c r="A1407" s="36" t="s">
        <v>37</v>
      </c>
      <c r="B1407" s="13">
        <v>116</v>
      </c>
      <c r="C1407" s="48" t="str">
        <f t="shared" si="54"/>
        <v>P.L. 116-131</v>
      </c>
      <c r="D1407" s="3" t="s">
        <v>2638</v>
      </c>
      <c r="E1407" s="3" t="s">
        <v>175</v>
      </c>
      <c r="F1407" s="3" t="s">
        <v>2646</v>
      </c>
      <c r="G1407" s="48" t="str">
        <f>HYPERLINK("https://uscode.house.gov/view.xhtml?req=granuleid:USC-prelim-title42-section3023&amp;num=0&amp;edition=prelim", "42 U.S.C. 3023(b)(2)")</f>
        <v>42 U.S.C. 3023(b)(2)</v>
      </c>
      <c r="H1407" s="46">
        <v>45565</v>
      </c>
      <c r="I1407" s="13">
        <v>2024</v>
      </c>
      <c r="J1407" s="47">
        <v>339525000</v>
      </c>
      <c r="K1407" s="16" t="s">
        <v>62</v>
      </c>
      <c r="L1407" s="3" t="s">
        <v>130</v>
      </c>
      <c r="M1407" s="3" t="s">
        <v>71</v>
      </c>
      <c r="N1407" s="3" t="s">
        <v>72</v>
      </c>
    </row>
    <row r="1408" spans="1:14" x14ac:dyDescent="0.3">
      <c r="A1408" s="36" t="s">
        <v>37</v>
      </c>
      <c r="B1408" s="13">
        <v>116</v>
      </c>
      <c r="C1408" s="48" t="str">
        <f t="shared" si="54"/>
        <v>P.L. 116-131</v>
      </c>
      <c r="D1408" s="3" t="s">
        <v>2638</v>
      </c>
      <c r="E1408" s="3" t="s">
        <v>2647</v>
      </c>
      <c r="F1408" s="3" t="s">
        <v>2648</v>
      </c>
      <c r="G1408" s="48" t="str">
        <f>HYPERLINK("https://uscode.house.gov/view.xhtml?req=granuleid:USC-prelim-title42-section3023&amp;num=0&amp;edition=prelim", "42 U.S.C. 3023(d)")</f>
        <v>42 U.S.C. 3023(d)</v>
      </c>
      <c r="H1408" s="46">
        <v>45565</v>
      </c>
      <c r="I1408" s="13">
        <v>2024</v>
      </c>
      <c r="J1408" s="47">
        <v>33566000</v>
      </c>
      <c r="K1408" s="16" t="s">
        <v>62</v>
      </c>
      <c r="L1408" s="3" t="s">
        <v>130</v>
      </c>
      <c r="M1408" s="3" t="s">
        <v>71</v>
      </c>
      <c r="N1408" s="3" t="s">
        <v>72</v>
      </c>
    </row>
    <row r="1409" spans="1:14" x14ac:dyDescent="0.3">
      <c r="A1409" s="36" t="s">
        <v>37</v>
      </c>
      <c r="B1409" s="13">
        <v>116</v>
      </c>
      <c r="C1409" s="48" t="str">
        <f t="shared" si="54"/>
        <v>P.L. 116-131</v>
      </c>
      <c r="D1409" s="3" t="s">
        <v>2638</v>
      </c>
      <c r="E1409" s="3" t="s">
        <v>175</v>
      </c>
      <c r="F1409" s="3" t="s">
        <v>2649</v>
      </c>
      <c r="G1409" s="48" t="str">
        <f>HYPERLINK("https://uscode.house.gov/view.xhtml?req=granuleid:USC-prelim-title42-section3023&amp;num=0&amp;edition=prelim", "42 U.S.C. 3023(e)")</f>
        <v>42 U.S.C. 3023(e)</v>
      </c>
      <c r="H1409" s="46">
        <v>45565</v>
      </c>
      <c r="I1409" s="13">
        <v>2024</v>
      </c>
      <c r="J1409" s="47">
        <v>244755000</v>
      </c>
      <c r="K1409" s="16" t="s">
        <v>62</v>
      </c>
      <c r="L1409" s="3" t="s">
        <v>130</v>
      </c>
      <c r="M1409" s="3" t="s">
        <v>71</v>
      </c>
      <c r="N1409" s="3" t="s">
        <v>72</v>
      </c>
    </row>
    <row r="1410" spans="1:14" x14ac:dyDescent="0.3">
      <c r="A1410" s="36" t="s">
        <v>37</v>
      </c>
      <c r="B1410" s="13">
        <v>116</v>
      </c>
      <c r="C1410" s="48" t="str">
        <f t="shared" si="54"/>
        <v>P.L. 116-131</v>
      </c>
      <c r="D1410" s="3" t="s">
        <v>2638</v>
      </c>
      <c r="E1410" s="3" t="s">
        <v>761</v>
      </c>
      <c r="F1410" s="3" t="s">
        <v>2650</v>
      </c>
      <c r="G1410" s="48" t="str">
        <f>HYPERLINK("https://uscode.house.gov/view.xhtml?req=granuleid:USC-prelim-title42-section3030a&amp;num=0&amp;edition=prelim", "42 U.S.C. 3030a(e)")</f>
        <v>42 U.S.C. 3030a(e)</v>
      </c>
      <c r="H1410" s="46">
        <v>45565</v>
      </c>
      <c r="I1410" s="13">
        <v>2024</v>
      </c>
      <c r="J1410" s="47">
        <v>216229000</v>
      </c>
      <c r="K1410" s="16" t="s">
        <v>62</v>
      </c>
      <c r="L1410" s="3" t="s">
        <v>130</v>
      </c>
      <c r="M1410" s="3" t="s">
        <v>71</v>
      </c>
      <c r="N1410" s="3" t="s">
        <v>72</v>
      </c>
    </row>
    <row r="1411" spans="1:14" x14ac:dyDescent="0.3">
      <c r="A1411" s="36" t="s">
        <v>37</v>
      </c>
      <c r="B1411" s="13">
        <v>116</v>
      </c>
      <c r="C1411" s="48" t="str">
        <f t="shared" si="54"/>
        <v>P.L. 116-131</v>
      </c>
      <c r="D1411" s="3" t="s">
        <v>2638</v>
      </c>
      <c r="E1411" s="3" t="s">
        <v>138</v>
      </c>
      <c r="F1411" s="3" t="s">
        <v>2651</v>
      </c>
      <c r="G1411" s="48" t="str">
        <f>HYPERLINK("https://uscode.house.gov/view.xhtml?req=granuleid:USC-prelim-title42-section3032&amp;num=0&amp;edition=prelim", "42 U.S.C. 3032(b)(1)")</f>
        <v>42 U.S.C. 3032(b)(1)</v>
      </c>
      <c r="H1411" s="46">
        <v>45565</v>
      </c>
      <c r="I1411" s="13">
        <v>2024</v>
      </c>
      <c r="J1411" s="47">
        <v>18324000</v>
      </c>
      <c r="K1411" s="16" t="s">
        <v>62</v>
      </c>
      <c r="L1411" s="3" t="s">
        <v>130</v>
      </c>
      <c r="M1411" s="3" t="s">
        <v>71</v>
      </c>
      <c r="N1411" s="3" t="s">
        <v>72</v>
      </c>
    </row>
    <row r="1412" spans="1:14" x14ac:dyDescent="0.3">
      <c r="A1412" s="36" t="s">
        <v>37</v>
      </c>
      <c r="B1412" s="13">
        <v>116</v>
      </c>
      <c r="C1412" s="48" t="str">
        <f t="shared" si="54"/>
        <v>P.L. 116-131</v>
      </c>
      <c r="D1412" s="3" t="s">
        <v>2638</v>
      </c>
      <c r="E1412" s="3" t="s">
        <v>138</v>
      </c>
      <c r="F1412" s="3" t="s">
        <v>2652</v>
      </c>
      <c r="G1412" s="48" t="str">
        <f>HYPERLINK("https://uscode.house.gov/view.xhtml?req=granuleid:USC-prelim-title42-section3032&amp;num=0&amp;edition=prelim", "42 U.S.C. 3032(b)(2)")</f>
        <v>42 U.S.C. 3032(b)(2)</v>
      </c>
      <c r="H1412" s="46">
        <v>45565</v>
      </c>
      <c r="I1412" s="13">
        <v>2024</v>
      </c>
      <c r="J1412" s="47">
        <v>19712000</v>
      </c>
      <c r="K1412" s="16" t="s">
        <v>62</v>
      </c>
      <c r="L1412" s="3" t="s">
        <v>130</v>
      </c>
      <c r="M1412" s="3" t="s">
        <v>71</v>
      </c>
      <c r="N1412" s="3" t="s">
        <v>72</v>
      </c>
    </row>
    <row r="1413" spans="1:14" x14ac:dyDescent="0.3">
      <c r="A1413" s="36" t="s">
        <v>37</v>
      </c>
      <c r="B1413" s="13">
        <v>116</v>
      </c>
      <c r="C1413" s="48" t="str">
        <f t="shared" si="54"/>
        <v>P.L. 116-131</v>
      </c>
      <c r="D1413" s="3" t="s">
        <v>2638</v>
      </c>
      <c r="E1413" s="3" t="s">
        <v>180</v>
      </c>
      <c r="F1413" s="3" t="s">
        <v>2653</v>
      </c>
      <c r="G1413" s="48" t="str">
        <f>HYPERLINK("https://uscode.house.gov/view.xhtml?req=granuleid:USC-prelim-title42-section3056o&amp;num=0&amp;edition=prelim", "42 U.S.C. 3056o(a)")</f>
        <v>42 U.S.C. 3056o(a)</v>
      </c>
      <c r="H1413" s="46">
        <v>45565</v>
      </c>
      <c r="I1413" s="13">
        <v>2024</v>
      </c>
      <c r="J1413" s="47">
        <v>540340000</v>
      </c>
      <c r="K1413" s="16" t="s">
        <v>62</v>
      </c>
      <c r="L1413" s="3" t="s">
        <v>130</v>
      </c>
      <c r="M1413" s="3" t="s">
        <v>71</v>
      </c>
      <c r="N1413" s="3" t="s">
        <v>72</v>
      </c>
    </row>
    <row r="1414" spans="1:14" x14ac:dyDescent="0.3">
      <c r="A1414" s="36" t="s">
        <v>37</v>
      </c>
      <c r="B1414" s="13">
        <v>116</v>
      </c>
      <c r="C1414" s="48" t="str">
        <f t="shared" si="54"/>
        <v>P.L. 116-131</v>
      </c>
      <c r="D1414" s="3" t="s">
        <v>2638</v>
      </c>
      <c r="E1414" s="3" t="s">
        <v>324</v>
      </c>
      <c r="F1414" s="3" t="s">
        <v>2654</v>
      </c>
      <c r="G1414" s="48" t="str">
        <f>HYPERLINK("https://uscode.house.gov/view.xhtml?req=granuleid:USC-prelim-title42-section3057n&amp;num=0&amp;edition=prelim", "42 U.S.C. 3057n(1)")</f>
        <v>42 U.S.C. 3057n(1)</v>
      </c>
      <c r="H1414" s="46">
        <v>45565</v>
      </c>
      <c r="I1414" s="13">
        <v>2024</v>
      </c>
      <c r="J1414" s="47">
        <v>46710000</v>
      </c>
      <c r="K1414" s="16" t="s">
        <v>62</v>
      </c>
      <c r="L1414" s="3" t="s">
        <v>130</v>
      </c>
      <c r="M1414" s="3" t="s">
        <v>71</v>
      </c>
      <c r="N1414" s="3" t="s">
        <v>72</v>
      </c>
    </row>
    <row r="1415" spans="1:14" x14ac:dyDescent="0.3">
      <c r="A1415" s="36" t="s">
        <v>37</v>
      </c>
      <c r="B1415" s="13">
        <v>116</v>
      </c>
      <c r="C1415" s="48" t="str">
        <f t="shared" si="54"/>
        <v>P.L. 116-131</v>
      </c>
      <c r="D1415" s="3" t="s">
        <v>2638</v>
      </c>
      <c r="E1415" s="3" t="s">
        <v>324</v>
      </c>
      <c r="F1415" s="3" t="s">
        <v>2655</v>
      </c>
      <c r="G1415" s="48" t="str">
        <f>HYPERLINK("https://uscode.house.gov/view.xhtml?req=granuleid:USC-prelim-title42-section3057n&amp;num=0&amp;edition=prelim", "42 U.S.C. 3057n(2)")</f>
        <v>42 U.S.C. 3057n(2)</v>
      </c>
      <c r="H1415" s="46">
        <v>45565</v>
      </c>
      <c r="I1415" s="13">
        <v>2024</v>
      </c>
      <c r="J1415" s="47">
        <v>13584000</v>
      </c>
      <c r="K1415" s="16" t="s">
        <v>62</v>
      </c>
      <c r="L1415" s="3" t="s">
        <v>130</v>
      </c>
      <c r="M1415" s="3" t="s">
        <v>71</v>
      </c>
      <c r="N1415" s="3" t="s">
        <v>72</v>
      </c>
    </row>
    <row r="1416" spans="1:14" x14ac:dyDescent="0.3">
      <c r="A1416" s="36" t="s">
        <v>37</v>
      </c>
      <c r="B1416" s="13">
        <v>116</v>
      </c>
      <c r="C1416" s="48" t="str">
        <f t="shared" si="54"/>
        <v>P.L. 116-131</v>
      </c>
      <c r="D1416" s="3" t="s">
        <v>2638</v>
      </c>
      <c r="E1416" s="3" t="s">
        <v>358</v>
      </c>
      <c r="F1416" s="3" t="s">
        <v>2656</v>
      </c>
      <c r="G1416" s="48" t="str">
        <f>HYPERLINK("https://uscode.house.gov/view.xhtml?req=granuleid:USC-prelim-title42-section3058a&amp;num=0&amp;edition=prelim", "42 U.S.C. 3058a")</f>
        <v>42 U.S.C. 3058a</v>
      </c>
      <c r="H1416" s="46">
        <v>45565</v>
      </c>
      <c r="I1416" s="13">
        <v>2024</v>
      </c>
      <c r="J1416" s="47">
        <v>22809000</v>
      </c>
      <c r="K1416" s="16" t="s">
        <v>62</v>
      </c>
      <c r="L1416" s="3" t="s">
        <v>130</v>
      </c>
      <c r="M1416" s="3" t="s">
        <v>71</v>
      </c>
      <c r="N1416" s="3" t="s">
        <v>72</v>
      </c>
    </row>
    <row r="1417" spans="1:14" x14ac:dyDescent="0.3">
      <c r="A1417" s="36" t="s">
        <v>37</v>
      </c>
      <c r="B1417" s="13">
        <v>116</v>
      </c>
      <c r="C1417" s="48" t="str">
        <f t="shared" si="54"/>
        <v>P.L. 116-131</v>
      </c>
      <c r="D1417" s="3" t="s">
        <v>2638</v>
      </c>
      <c r="E1417" s="3" t="s">
        <v>2657</v>
      </c>
      <c r="F1417" s="3" t="s">
        <v>2658</v>
      </c>
      <c r="G1417" s="48" t="str">
        <f>HYPERLINK("https://uscode.house.gov/view.xhtml?req=granuleid:USC-prelim-title42-section3058a&amp;num=0&amp;edition=prelim", "42 U.S.C. 3058a(b)")</f>
        <v>42 U.S.C. 3058a(b)</v>
      </c>
      <c r="H1417" s="46">
        <v>45565</v>
      </c>
      <c r="I1417" s="13">
        <v>2024</v>
      </c>
      <c r="J1417" s="47">
        <v>6448000</v>
      </c>
      <c r="K1417" s="16" t="s">
        <v>62</v>
      </c>
      <c r="L1417" s="3" t="s">
        <v>130</v>
      </c>
      <c r="M1417" s="3" t="s">
        <v>71</v>
      </c>
      <c r="N1417" s="3" t="s">
        <v>72</v>
      </c>
    </row>
    <row r="1418" spans="1:14" x14ac:dyDescent="0.3">
      <c r="A1418" s="36" t="s">
        <v>37</v>
      </c>
      <c r="B1418" s="13">
        <v>115</v>
      </c>
      <c r="C1418" s="48" t="str">
        <f>HYPERLINK("https://uscode.house.gov/statutes/pl/115/410.pdf", "P.L. 115-410")</f>
        <v>P.L. 115-410</v>
      </c>
      <c r="D1418" s="3" t="s">
        <v>2476</v>
      </c>
      <c r="E1418" s="3" t="s">
        <v>560</v>
      </c>
      <c r="F1418" s="3" t="s">
        <v>2477</v>
      </c>
      <c r="G1418" s="48" t="str">
        <f>HYPERLINK("https://uscode.house.gov/view.xhtml?req=granuleid:USC-prelim-title20-section9108&amp;num=0&amp;edition=prelim", "20 U.S.C. 9108")</f>
        <v>20 U.S.C. 9108</v>
      </c>
      <c r="H1418" s="46">
        <v>45930</v>
      </c>
      <c r="I1418" s="13">
        <v>2025</v>
      </c>
      <c r="J1418" s="47">
        <v>3500000</v>
      </c>
      <c r="K1418" s="16" t="s">
        <v>62</v>
      </c>
      <c r="L1418" s="3" t="s">
        <v>130</v>
      </c>
      <c r="M1418" s="3" t="s">
        <v>71</v>
      </c>
      <c r="N1418" s="3" t="s">
        <v>72</v>
      </c>
    </row>
    <row r="1419" spans="1:14" x14ac:dyDescent="0.3">
      <c r="A1419" s="36" t="s">
        <v>37</v>
      </c>
      <c r="B1419" s="13">
        <v>115</v>
      </c>
      <c r="C1419" s="48" t="str">
        <f>HYPERLINK("https://uscode.house.gov/statutes/pl/115/410.pdf", "P.L. 115-410")</f>
        <v>P.L. 115-410</v>
      </c>
      <c r="D1419" s="3" t="s">
        <v>2476</v>
      </c>
      <c r="F1419" s="3" t="s">
        <v>2478</v>
      </c>
      <c r="G1419" s="48" t="str">
        <f>HYPERLINK("https://uscode.house.gov/view.xhtml?req=granuleid:USC-prelim-title20-section9123&amp;num=0&amp;edition=prelim", "20 U.S.C. 9123(a)(1)")</f>
        <v>20 U.S.C. 9123(a)(1)</v>
      </c>
      <c r="H1419" s="46">
        <v>45930</v>
      </c>
      <c r="I1419" s="13">
        <v>2025</v>
      </c>
      <c r="J1419" s="47">
        <v>232000000</v>
      </c>
      <c r="K1419" s="16" t="s">
        <v>62</v>
      </c>
      <c r="L1419" s="3" t="s">
        <v>130</v>
      </c>
      <c r="M1419" s="3" t="s">
        <v>71</v>
      </c>
      <c r="N1419" s="3" t="s">
        <v>72</v>
      </c>
    </row>
    <row r="1420" spans="1:14" x14ac:dyDescent="0.3">
      <c r="A1420" s="36" t="s">
        <v>37</v>
      </c>
      <c r="B1420" s="13">
        <v>115</v>
      </c>
      <c r="C1420" s="48" t="str">
        <f>HYPERLINK("https://uscode.house.gov/statutes/pl/115/410.pdf", "P.L. 115-410")</f>
        <v>P.L. 115-410</v>
      </c>
      <c r="D1420" s="3" t="s">
        <v>2476</v>
      </c>
      <c r="F1420" s="3" t="s">
        <v>2479</v>
      </c>
      <c r="G1420" s="48" t="str">
        <f>HYPERLINK("https://uscode.house.gov/view.xhtml?req=granuleid:USC-prelim-title20-section9123&amp;num=0&amp;edition=prelim", "20 U.S.C. 9123(a)(2)")</f>
        <v>20 U.S.C. 9123(a)(2)</v>
      </c>
      <c r="H1420" s="46">
        <v>45930</v>
      </c>
      <c r="I1420" s="13">
        <v>2025</v>
      </c>
      <c r="J1420" s="47">
        <v>24500000</v>
      </c>
      <c r="K1420" s="16" t="s">
        <v>62</v>
      </c>
      <c r="L1420" s="3" t="s">
        <v>130</v>
      </c>
      <c r="M1420" s="3" t="s">
        <v>71</v>
      </c>
      <c r="N1420" s="3" t="s">
        <v>72</v>
      </c>
    </row>
    <row r="1421" spans="1:14" x14ac:dyDescent="0.3">
      <c r="A1421" s="36" t="s">
        <v>37</v>
      </c>
      <c r="B1421" s="13">
        <v>115</v>
      </c>
      <c r="C1421" s="48" t="str">
        <f>HYPERLINK("https://uscode.house.gov/statutes/pl/115/410.pdf", "P.L. 115-410")</f>
        <v>P.L. 115-410</v>
      </c>
      <c r="D1421" s="3" t="s">
        <v>2476</v>
      </c>
      <c r="F1421" s="3" t="s">
        <v>2480</v>
      </c>
      <c r="G1421" s="48" t="str">
        <f>HYPERLINK("https://uscode.house.gov/view.xhtml?req=granuleid:USC-prelim-title20-section9176&amp;num=0&amp;edition=prelim", "20 U.S.C. 9176")</f>
        <v>20 U.S.C. 9176</v>
      </c>
      <c r="H1421" s="46">
        <v>45930</v>
      </c>
      <c r="I1421" s="13">
        <v>2025</v>
      </c>
      <c r="J1421" s="47">
        <v>38600000</v>
      </c>
      <c r="K1421" s="16" t="s">
        <v>62</v>
      </c>
      <c r="L1421" s="3" t="s">
        <v>130</v>
      </c>
      <c r="M1421" s="3" t="s">
        <v>71</v>
      </c>
      <c r="N1421" s="3" t="s">
        <v>72</v>
      </c>
    </row>
    <row r="1422" spans="1:14" x14ac:dyDescent="0.3">
      <c r="A1422" s="36" t="s">
        <v>37</v>
      </c>
      <c r="B1422" s="13">
        <v>116</v>
      </c>
      <c r="C1422" s="48" t="str">
        <f t="shared" ref="C1422:C1439" si="55">HYPERLINK("https://uscode.house.gov/statutes/pl/116/136.pdf", "P.L. 116-136")</f>
        <v>P.L. 116-136</v>
      </c>
      <c r="D1422" s="3" t="s">
        <v>2659</v>
      </c>
      <c r="E1422" s="3" t="s">
        <v>2660</v>
      </c>
      <c r="F1422" s="3" t="s">
        <v>2661</v>
      </c>
      <c r="G1422" s="48" t="str">
        <f>HYPERLINK("https://uscode.house.gov/view.xhtml?req=granuleid:USC-prelim-title42-section254c&amp;num=0&amp;edition=prelim", "42 U.S.C. 254c(14)(q)")</f>
        <v>42 U.S.C. 254c(14)(q)</v>
      </c>
      <c r="H1422" s="46">
        <v>45930</v>
      </c>
      <c r="I1422" s="13">
        <v>2025</v>
      </c>
      <c r="J1422" s="47">
        <v>29000000</v>
      </c>
      <c r="K1422" s="16" t="s">
        <v>62</v>
      </c>
      <c r="L1422" s="3" t="s">
        <v>292</v>
      </c>
      <c r="M1422" s="3" t="s">
        <v>71</v>
      </c>
      <c r="N1422" s="3" t="s">
        <v>72</v>
      </c>
    </row>
    <row r="1423" spans="1:14" x14ac:dyDescent="0.3">
      <c r="A1423" s="36" t="s">
        <v>37</v>
      </c>
      <c r="B1423" s="13">
        <v>116</v>
      </c>
      <c r="C1423" s="48" t="str">
        <f t="shared" si="55"/>
        <v>P.L. 116-136</v>
      </c>
      <c r="D1423" s="3" t="s">
        <v>2659</v>
      </c>
      <c r="E1423" s="3" t="s">
        <v>2662</v>
      </c>
      <c r="F1423" s="3" t="s">
        <v>2663</v>
      </c>
      <c r="G1423" s="48" t="str">
        <f>HYPERLINK("https://uscode.house.gov/view.xhtml?req=granuleid:USC-prelim-title42-section254b&amp;num=0&amp;edition=prelim", "42 U.S.C. 254b(r)(6)")</f>
        <v>42 U.S.C. 254b(r)(6)</v>
      </c>
      <c r="H1423" s="46">
        <v>44469</v>
      </c>
      <c r="I1423" s="13">
        <v>2021</v>
      </c>
      <c r="J1423" s="47">
        <v>1320000000</v>
      </c>
      <c r="K1423" s="16" t="s">
        <v>62</v>
      </c>
      <c r="L1423" s="3" t="s">
        <v>292</v>
      </c>
      <c r="M1423" s="3" t="s">
        <v>71</v>
      </c>
      <c r="N1423" s="3" t="s">
        <v>72</v>
      </c>
    </row>
    <row r="1424" spans="1:14" x14ac:dyDescent="0.3">
      <c r="A1424" s="36" t="s">
        <v>37</v>
      </c>
      <c r="B1424" s="13">
        <v>116</v>
      </c>
      <c r="C1424" s="48" t="str">
        <f t="shared" si="55"/>
        <v>P.L. 116-136</v>
      </c>
      <c r="D1424" s="3" t="s">
        <v>2659</v>
      </c>
      <c r="E1424" s="3" t="s">
        <v>2664</v>
      </c>
      <c r="F1424" s="3" t="s">
        <v>2665</v>
      </c>
      <c r="G1424" s="48" t="str">
        <f>HYPERLINK("https://uscode.house.gov/view.xhtml?req=granuleid:USC-prelim-title42-section254c&amp;num=0&amp;edition=prelim", "42 U.S.C. 254c(j)")</f>
        <v>42 U.S.C. 254c(j)</v>
      </c>
      <c r="H1424" s="46">
        <v>45930</v>
      </c>
      <c r="I1424" s="13">
        <v>2025</v>
      </c>
      <c r="J1424" s="47">
        <v>79500000</v>
      </c>
      <c r="K1424" s="16" t="s">
        <v>62</v>
      </c>
      <c r="L1424" s="3" t="s">
        <v>60</v>
      </c>
      <c r="M1424" s="3" t="s">
        <v>71</v>
      </c>
      <c r="N1424" s="3" t="s">
        <v>72</v>
      </c>
    </row>
    <row r="1425" spans="1:14" x14ac:dyDescent="0.3">
      <c r="A1425" s="36" t="s">
        <v>37</v>
      </c>
      <c r="B1425" s="13">
        <v>116</v>
      </c>
      <c r="C1425" s="48" t="str">
        <f t="shared" si="55"/>
        <v>P.L. 116-136</v>
      </c>
      <c r="D1425" s="3" t="s">
        <v>2659</v>
      </c>
      <c r="E1425" s="3" t="s">
        <v>2666</v>
      </c>
      <c r="F1425" s="3" t="s">
        <v>2667</v>
      </c>
      <c r="G1425" s="48" t="str">
        <f>HYPERLINK("https://uscode.house.gov/view.xhtml?req=granuleid:USC-prelim-title42-section254c-8&amp;num=0&amp;edition=prelim", "42 U.S.C. 254c-8(e)(1)")</f>
        <v>42 U.S.C. 254c-8(e)(1)</v>
      </c>
      <c r="H1425" s="46">
        <v>45930</v>
      </c>
      <c r="I1425" s="13">
        <v>2025</v>
      </c>
      <c r="J1425" s="47">
        <v>125500000</v>
      </c>
      <c r="K1425" s="16" t="s">
        <v>62</v>
      </c>
      <c r="L1425" s="3" t="s">
        <v>60</v>
      </c>
      <c r="M1425" s="3" t="s">
        <v>71</v>
      </c>
      <c r="N1425" s="3" t="s">
        <v>72</v>
      </c>
    </row>
    <row r="1426" spans="1:14" x14ac:dyDescent="0.3">
      <c r="A1426" s="36" t="s">
        <v>37</v>
      </c>
      <c r="B1426" s="13">
        <v>116</v>
      </c>
      <c r="C1426" s="48" t="str">
        <f t="shared" si="55"/>
        <v>P.L. 116-136</v>
      </c>
      <c r="D1426" s="3" t="s">
        <v>2659</v>
      </c>
      <c r="E1426" s="3" t="s">
        <v>2668</v>
      </c>
      <c r="F1426" s="3" t="s">
        <v>2669</v>
      </c>
      <c r="G1426" s="48" t="str">
        <f>HYPERLINK("https://uscode.house.gov/view.xhtml?req=granuleid:USC-prelim-title42-section293&amp;num=0&amp;edition=prelim", "42 U.S.C. 293(i)")</f>
        <v>42 U.S.C. 293(i)</v>
      </c>
      <c r="H1426" s="46">
        <v>45930</v>
      </c>
      <c r="I1426" s="13">
        <v>2025</v>
      </c>
      <c r="J1426" s="47">
        <v>23711000</v>
      </c>
      <c r="K1426" s="16" t="s">
        <v>62</v>
      </c>
      <c r="L1426" s="3" t="s">
        <v>292</v>
      </c>
      <c r="M1426" s="3" t="s">
        <v>71</v>
      </c>
      <c r="N1426" s="3" t="s">
        <v>72</v>
      </c>
    </row>
    <row r="1427" spans="1:14" x14ac:dyDescent="0.3">
      <c r="A1427" s="36" t="s">
        <v>37</v>
      </c>
      <c r="B1427" s="13">
        <v>116</v>
      </c>
      <c r="C1427" s="48" t="str">
        <f t="shared" si="55"/>
        <v>P.L. 116-136</v>
      </c>
      <c r="D1427" s="3" t="s">
        <v>2659</v>
      </c>
      <c r="E1427" s="3" t="s">
        <v>2670</v>
      </c>
      <c r="F1427" s="3" t="s">
        <v>2671</v>
      </c>
      <c r="G1427" s="48" t="str">
        <f>HYPERLINK("https://uscode.house.gov/view.xhtml?req=granuleid:USC-prelim-title42-section293d&amp;num=0&amp;edition=prelim", "42 U.S.C. 293d(a)")</f>
        <v>42 U.S.C. 293d(a)</v>
      </c>
      <c r="H1427" s="46">
        <v>45930</v>
      </c>
      <c r="I1427" s="13">
        <v>2025</v>
      </c>
      <c r="J1427" s="47">
        <v>51470000</v>
      </c>
      <c r="K1427" s="16" t="s">
        <v>62</v>
      </c>
      <c r="L1427" s="3" t="s">
        <v>60</v>
      </c>
      <c r="M1427" s="3" t="s">
        <v>71</v>
      </c>
      <c r="N1427" s="3" t="s">
        <v>72</v>
      </c>
    </row>
    <row r="1428" spans="1:14" x14ac:dyDescent="0.3">
      <c r="A1428" s="36" t="s">
        <v>37</v>
      </c>
      <c r="B1428" s="13">
        <v>116</v>
      </c>
      <c r="C1428" s="48" t="str">
        <f t="shared" si="55"/>
        <v>P.L. 116-136</v>
      </c>
      <c r="D1428" s="3" t="s">
        <v>2659</v>
      </c>
      <c r="E1428" s="3" t="s">
        <v>2672</v>
      </c>
      <c r="F1428" s="3" t="s">
        <v>2673</v>
      </c>
      <c r="G1428" s="48" t="str">
        <f>HYPERLINK("https://uscode.house.gov/view.xhtml?req=granuleid:USC-prelim-title42-section293d&amp;num=0&amp;edition=prelim", "42 U.S.C. 293d(b)")</f>
        <v>42 U.S.C. 293d(b)</v>
      </c>
      <c r="H1428" s="46">
        <v>45930</v>
      </c>
      <c r="I1428" s="13">
        <v>2025</v>
      </c>
      <c r="J1428" s="47">
        <v>1190000</v>
      </c>
      <c r="K1428" s="16" t="s">
        <v>62</v>
      </c>
      <c r="L1428" s="3" t="s">
        <v>60</v>
      </c>
      <c r="M1428" s="3" t="s">
        <v>71</v>
      </c>
      <c r="N1428" s="3" t="s">
        <v>72</v>
      </c>
    </row>
    <row r="1429" spans="1:14" x14ac:dyDescent="0.3">
      <c r="A1429" s="36" t="s">
        <v>37</v>
      </c>
      <c r="B1429" s="13">
        <v>116</v>
      </c>
      <c r="C1429" s="48" t="str">
        <f t="shared" si="55"/>
        <v>P.L. 116-136</v>
      </c>
      <c r="D1429" s="3" t="s">
        <v>2659</v>
      </c>
      <c r="E1429" s="3" t="s">
        <v>2674</v>
      </c>
      <c r="F1429" s="3" t="s">
        <v>2675</v>
      </c>
      <c r="G1429" s="48" t="str">
        <f>HYPERLINK("https://uscode.house.gov/view.xhtml?req=granuleid:USC-prelim-title42-section293d&amp;num=0&amp;edition=prelim", "42 U.S.C. 293d(b)")</f>
        <v>42 U.S.C. 293d(b)</v>
      </c>
      <c r="H1429" s="46">
        <v>45930</v>
      </c>
      <c r="I1429" s="13">
        <v>2025</v>
      </c>
      <c r="J1429" s="47">
        <v>15000000</v>
      </c>
      <c r="K1429" s="16" t="s">
        <v>62</v>
      </c>
      <c r="L1429" s="3" t="s">
        <v>60</v>
      </c>
      <c r="M1429" s="3" t="s">
        <v>71</v>
      </c>
      <c r="N1429" s="3" t="s">
        <v>72</v>
      </c>
    </row>
    <row r="1430" spans="1:14" x14ac:dyDescent="0.3">
      <c r="A1430" s="36" t="s">
        <v>37</v>
      </c>
      <c r="B1430" s="13">
        <v>116</v>
      </c>
      <c r="C1430" s="48" t="str">
        <f t="shared" si="55"/>
        <v>P.L. 116-136</v>
      </c>
      <c r="D1430" s="3" t="s">
        <v>2659</v>
      </c>
      <c r="E1430" s="3" t="s">
        <v>2676</v>
      </c>
      <c r="F1430" s="3" t="s">
        <v>2677</v>
      </c>
      <c r="G1430" s="48" t="str">
        <f>HYPERLINK("https://uscode.house.gov/view.xhtml?req=granuleid:USC-prelim-title42-section293k&amp;num=0&amp;edition=prelim", "42 U.S.C. 293k(c)(I)")</f>
        <v>42 U.S.C. 293k(c)(I)</v>
      </c>
      <c r="H1430" s="46">
        <v>45930</v>
      </c>
      <c r="I1430" s="13">
        <v>2025</v>
      </c>
      <c r="J1430" s="47">
        <v>48924000</v>
      </c>
      <c r="K1430" s="16" t="s">
        <v>62</v>
      </c>
      <c r="L1430" s="3" t="s">
        <v>60</v>
      </c>
      <c r="M1430" s="3" t="s">
        <v>71</v>
      </c>
      <c r="N1430" s="3" t="s">
        <v>72</v>
      </c>
    </row>
    <row r="1431" spans="1:14" x14ac:dyDescent="0.3">
      <c r="A1431" s="36" t="s">
        <v>37</v>
      </c>
      <c r="B1431" s="13">
        <v>116</v>
      </c>
      <c r="C1431" s="48" t="str">
        <f t="shared" si="55"/>
        <v>P.L. 116-136</v>
      </c>
      <c r="D1431" s="3" t="s">
        <v>2659</v>
      </c>
      <c r="E1431" s="3" t="s">
        <v>2678</v>
      </c>
      <c r="F1431" s="3" t="s">
        <v>2679</v>
      </c>
      <c r="G1431" s="48" t="str">
        <f>HYPERLINK("https://uscode.house.gov/view.xhtml?req=granuleid:USC-prelim-title42-section294a&amp;num=0&amp;edition=prelim", "42 U.S.C. 294a(j)(1)")</f>
        <v>42 U.S.C. 294a(j)(1)</v>
      </c>
      <c r="H1431" s="46">
        <v>45930</v>
      </c>
      <c r="I1431" s="13">
        <v>2025</v>
      </c>
      <c r="J1431" s="47">
        <v>41250000</v>
      </c>
      <c r="K1431" s="16" t="s">
        <v>62</v>
      </c>
      <c r="L1431" s="3" t="s">
        <v>60</v>
      </c>
      <c r="M1431" s="3" t="s">
        <v>71</v>
      </c>
      <c r="N1431" s="3" t="s">
        <v>72</v>
      </c>
    </row>
    <row r="1432" spans="1:14" x14ac:dyDescent="0.3">
      <c r="A1432" s="36" t="s">
        <v>37</v>
      </c>
      <c r="B1432" s="13">
        <v>116</v>
      </c>
      <c r="C1432" s="48" t="str">
        <f t="shared" si="55"/>
        <v>P.L. 116-136</v>
      </c>
      <c r="D1432" s="3" t="s">
        <v>2659</v>
      </c>
      <c r="E1432" s="3" t="s">
        <v>2680</v>
      </c>
      <c r="F1432" s="3" t="s">
        <v>2681</v>
      </c>
      <c r="G1432" s="48" t="str">
        <f>HYPERLINK("https://uscode.house.gov/view.xhtml?req=granuleid:USC-prelim-title42-section294n&amp;num=0&amp;edition=prelim", "42 U.S.C. 294n(e)(1)")</f>
        <v>42 U.S.C. 294n(e)(1)</v>
      </c>
      <c r="H1432" s="46">
        <v>45930</v>
      </c>
      <c r="I1432" s="13">
        <v>2025</v>
      </c>
      <c r="J1432" s="47">
        <v>5663000</v>
      </c>
      <c r="K1432" s="16" t="s">
        <v>62</v>
      </c>
      <c r="L1432" s="3" t="s">
        <v>60</v>
      </c>
      <c r="M1432" s="3" t="s">
        <v>71</v>
      </c>
      <c r="N1432" s="3" t="s">
        <v>72</v>
      </c>
    </row>
    <row r="1433" spans="1:14" x14ac:dyDescent="0.3">
      <c r="A1433" s="36" t="s">
        <v>37</v>
      </c>
      <c r="B1433" s="13">
        <v>116</v>
      </c>
      <c r="C1433" s="48" t="str">
        <f t="shared" si="55"/>
        <v>P.L. 116-136</v>
      </c>
      <c r="D1433" s="3" t="s">
        <v>2659</v>
      </c>
      <c r="E1433" s="3" t="s">
        <v>2682</v>
      </c>
      <c r="F1433" s="3" t="s">
        <v>2683</v>
      </c>
      <c r="G1433" s="48" t="str">
        <f>HYPERLINK("https://uscode.house.gov/view.xhtml?req=granuleid:USC-prelim-title42-section294a&amp;num=0&amp;edition=prelim", "42 U.S.C. 294a(j)(1)")</f>
        <v>42 U.S.C. 294a(j)(1)</v>
      </c>
      <c r="H1433" s="46">
        <v>45930</v>
      </c>
      <c r="I1433" s="13">
        <v>2025</v>
      </c>
      <c r="J1433" s="47">
        <v>40737000</v>
      </c>
      <c r="K1433" s="16" t="s">
        <v>62</v>
      </c>
      <c r="L1433" s="3" t="s">
        <v>60</v>
      </c>
      <c r="M1433" s="3" t="s">
        <v>71</v>
      </c>
      <c r="N1433" s="3" t="s">
        <v>72</v>
      </c>
    </row>
    <row r="1434" spans="1:14" x14ac:dyDescent="0.3">
      <c r="A1434" s="36" t="s">
        <v>37</v>
      </c>
      <c r="B1434" s="13">
        <v>116</v>
      </c>
      <c r="C1434" s="48" t="str">
        <f t="shared" si="55"/>
        <v>P.L. 116-136</v>
      </c>
      <c r="D1434" s="3" t="s">
        <v>2659</v>
      </c>
      <c r="E1434" s="3" t="s">
        <v>2684</v>
      </c>
      <c r="F1434" s="3" t="s">
        <v>2685</v>
      </c>
      <c r="G1434" s="48" t="str">
        <f>HYPERLINK("https://uscode.house.gov/view.xhtml?req=granuleid:USC-prelim-title42-section298d&amp;num=0&amp;edition=prelim", "42 U.S.C. 298d(a)")</f>
        <v>42 U.S.C. 298d(a)</v>
      </c>
      <c r="H1434" s="46">
        <v>45930</v>
      </c>
      <c r="I1434" s="13">
        <v>2025</v>
      </c>
      <c r="J1434" s="47">
        <v>137837000</v>
      </c>
      <c r="K1434" s="16" t="s">
        <v>62</v>
      </c>
      <c r="L1434" s="3" t="s">
        <v>60</v>
      </c>
      <c r="M1434" s="3" t="s">
        <v>71</v>
      </c>
      <c r="N1434" s="3" t="s">
        <v>72</v>
      </c>
    </row>
    <row r="1435" spans="1:14" x14ac:dyDescent="0.3">
      <c r="A1435" s="36" t="s">
        <v>37</v>
      </c>
      <c r="B1435" s="13">
        <v>116</v>
      </c>
      <c r="C1435" s="48" t="str">
        <f t="shared" si="55"/>
        <v>P.L. 116-136</v>
      </c>
      <c r="D1435" s="3" t="s">
        <v>2659</v>
      </c>
      <c r="E1435" s="3" t="s">
        <v>2684</v>
      </c>
      <c r="F1435" s="3" t="s">
        <v>2686</v>
      </c>
      <c r="G1435" s="48" t="str">
        <f>HYPERLINK("https://uscode.house.gov/view.xhtml?req=granuleid:USC-prelim-title42-section298d&amp;num=0&amp;edition=prelim", "42 U.S.C. 298d(b)")</f>
        <v>42 U.S.C. 298d(b)</v>
      </c>
      <c r="H1435" s="46">
        <v>45930</v>
      </c>
      <c r="I1435" s="13">
        <v>2025</v>
      </c>
      <c r="J1435" s="47">
        <v>117135000</v>
      </c>
      <c r="K1435" s="16" t="s">
        <v>62</v>
      </c>
      <c r="L1435" s="3" t="s">
        <v>60</v>
      </c>
      <c r="M1435" s="3" t="s">
        <v>71</v>
      </c>
      <c r="N1435" s="3" t="s">
        <v>72</v>
      </c>
    </row>
    <row r="1436" spans="1:14" x14ac:dyDescent="0.3">
      <c r="A1436" s="36" t="s">
        <v>37</v>
      </c>
      <c r="B1436" s="13">
        <v>116</v>
      </c>
      <c r="C1436" s="48" t="str">
        <f t="shared" si="55"/>
        <v>P.L. 116-136</v>
      </c>
      <c r="D1436" s="3" t="s">
        <v>2659</v>
      </c>
      <c r="E1436" s="3" t="s">
        <v>2687</v>
      </c>
      <c r="F1436" s="3" t="s">
        <v>2688</v>
      </c>
      <c r="G1436" s="48" t="str">
        <f>HYPERLINK("https://uscode.house.gov/view.xhtml?req=granuleid:USC-prelim-title42-section293k&amp;num=0&amp;edition=prelim", "42 U.S.C. 293k(2)(f)")</f>
        <v>42 U.S.C. 293k(2)(f)</v>
      </c>
      <c r="H1436" s="46">
        <v>45930</v>
      </c>
      <c r="I1436" s="13">
        <v>2025</v>
      </c>
      <c r="J1436" s="47">
        <v>28531000</v>
      </c>
      <c r="K1436" s="16" t="s">
        <v>62</v>
      </c>
      <c r="L1436" s="3" t="s">
        <v>60</v>
      </c>
      <c r="M1436" s="3" t="s">
        <v>71</v>
      </c>
      <c r="N1436" s="3" t="s">
        <v>72</v>
      </c>
    </row>
    <row r="1437" spans="1:14" x14ac:dyDescent="0.3">
      <c r="A1437" s="36" t="s">
        <v>37</v>
      </c>
      <c r="B1437" s="13">
        <v>116</v>
      </c>
      <c r="C1437" s="48" t="str">
        <f t="shared" si="55"/>
        <v>P.L. 116-136</v>
      </c>
      <c r="D1437" s="3" t="s">
        <v>2659</v>
      </c>
      <c r="E1437" s="3" t="s">
        <v>2689</v>
      </c>
      <c r="F1437" s="3" t="s">
        <v>2690</v>
      </c>
      <c r="G1437" s="48" t="str">
        <f>HYPERLINK("https://uscode.house.gov/view.xhtml?req=granuleid:USC-prelim-title42-section295&amp;num=0&amp;edition=prelim", "42 U.S.C. 295(e)(a)")</f>
        <v>42 U.S.C. 295(e)(a)</v>
      </c>
      <c r="H1437" s="46">
        <v>45930</v>
      </c>
      <c r="I1437" s="13">
        <v>2025</v>
      </c>
      <c r="J1437" s="47">
        <v>17000000</v>
      </c>
      <c r="K1437" s="16" t="s">
        <v>62</v>
      </c>
      <c r="L1437" s="3" t="s">
        <v>60</v>
      </c>
      <c r="M1437" s="3" t="s">
        <v>71</v>
      </c>
      <c r="N1437" s="3" t="s">
        <v>72</v>
      </c>
    </row>
    <row r="1438" spans="1:14" x14ac:dyDescent="0.3">
      <c r="A1438" s="36" t="s">
        <v>37</v>
      </c>
      <c r="B1438" s="13">
        <v>116</v>
      </c>
      <c r="C1438" s="48" t="str">
        <f t="shared" si="55"/>
        <v>P.L. 116-136</v>
      </c>
      <c r="D1438" s="3" t="s">
        <v>2659</v>
      </c>
      <c r="E1438" s="3" t="s">
        <v>2691</v>
      </c>
      <c r="F1438" s="3" t="s">
        <v>2692</v>
      </c>
      <c r="G1438" s="48" t="str">
        <f>HYPERLINK("https://uscode.house.gov/view.xhtml?req=granuleid:USC-prelim-title42-section295&amp;num=0&amp;edition=prelim", "42 U.S.C. 295(f)(e)")</f>
        <v>42 U.S.C. 295(f)(e)</v>
      </c>
      <c r="H1438" s="46">
        <v>45930</v>
      </c>
      <c r="I1438" s="13">
        <v>2025</v>
      </c>
      <c r="J1438" s="16" t="s">
        <v>12</v>
      </c>
      <c r="K1438" s="16" t="s">
        <v>62</v>
      </c>
      <c r="L1438" s="3" t="s">
        <v>60</v>
      </c>
      <c r="M1438" s="3" t="s">
        <v>71</v>
      </c>
      <c r="N1438" s="3" t="s">
        <v>72</v>
      </c>
    </row>
    <row r="1439" spans="1:14" x14ac:dyDescent="0.3">
      <c r="A1439" s="36" t="s">
        <v>37</v>
      </c>
      <c r="B1439" s="13">
        <v>116</v>
      </c>
      <c r="C1439" s="48" t="str">
        <f t="shared" si="55"/>
        <v>P.L. 116-136</v>
      </c>
      <c r="D1439" s="3" t="s">
        <v>2659</v>
      </c>
      <c r="E1439" s="3" t="s">
        <v>1433</v>
      </c>
      <c r="F1439" s="3" t="s">
        <v>2693</v>
      </c>
      <c r="G1439" s="48" t="str">
        <f>HYPERLINK("https://uscode.house.gov/view.xhtml?req=granuleid:USC-prelim-title42-section293k-2&amp;num=0&amp;edition=prelim", "42 U.S.C. 293k-2(f)")</f>
        <v>42 U.S.C. 293k-2(f)</v>
      </c>
      <c r="H1439" s="46">
        <v>45930</v>
      </c>
      <c r="I1439" s="13">
        <v>2025</v>
      </c>
      <c r="J1439" s="47">
        <v>28531000</v>
      </c>
      <c r="K1439" s="16" t="s">
        <v>62</v>
      </c>
      <c r="L1439" s="3" t="s">
        <v>60</v>
      </c>
      <c r="M1439" s="3" t="s">
        <v>71</v>
      </c>
      <c r="N1439" s="3" t="s">
        <v>72</v>
      </c>
    </row>
    <row r="1440" spans="1:14" x14ac:dyDescent="0.3">
      <c r="A1440" s="36" t="s">
        <v>37</v>
      </c>
      <c r="B1440" s="13">
        <v>116</v>
      </c>
      <c r="C1440" s="48" t="str">
        <f>HYPERLINK("https://uscode.house.gov/statutes/pl/116/141.pdf", "P.L. 116-141")</f>
        <v>P.L. 116-141</v>
      </c>
      <c r="D1440" s="3" t="s">
        <v>2694</v>
      </c>
      <c r="E1440" s="3" t="s">
        <v>2695</v>
      </c>
      <c r="F1440" s="3" t="s">
        <v>2696</v>
      </c>
      <c r="G1440" s="48" t="str">
        <f>HYPERLINK("https://uscode.house.gov/view.xhtml?req=granuleid:USC-prelim-title36-section2301&amp;num=0&amp;edition=prelim", "36 U.S.C. 2301(note)")</f>
        <v>36 U.S.C. 2301(note)</v>
      </c>
      <c r="H1440" s="46">
        <v>45930</v>
      </c>
      <c r="I1440" s="13">
        <v>2025</v>
      </c>
      <c r="J1440" s="47">
        <v>2000000</v>
      </c>
      <c r="K1440" s="16" t="s">
        <v>62</v>
      </c>
      <c r="L1440" s="3" t="s">
        <v>130</v>
      </c>
      <c r="M1440" s="3" t="s">
        <v>71</v>
      </c>
      <c r="N1440" s="3" t="s">
        <v>72</v>
      </c>
    </row>
    <row r="1441" spans="1:14" x14ac:dyDescent="0.3">
      <c r="A1441" s="36" t="s">
        <v>37</v>
      </c>
      <c r="B1441" s="13">
        <v>116</v>
      </c>
      <c r="C1441" s="48" t="str">
        <f>HYPERLINK("https://uscode.house.gov/statutes/pl/116/159.pdf", "P.L. 116-159")</f>
        <v>P.L. 116-159</v>
      </c>
      <c r="D1441" s="3" t="s">
        <v>2697</v>
      </c>
      <c r="E1441" s="3" t="s">
        <v>2698</v>
      </c>
      <c r="F1441" s="3" t="s">
        <v>2699</v>
      </c>
      <c r="G1441" s="48" t="str">
        <f>HYPERLINK("https://uscode.house.gov/view.xhtml?req=granuleid:USC-prelim-title23-section101&amp;num=0&amp;edition=prelim", "23 U.S.C. 101(Note)")</f>
        <v>23 U.S.C. 101(Note)</v>
      </c>
      <c r="H1441" s="46">
        <v>44469</v>
      </c>
      <c r="I1441" s="13">
        <v>2021</v>
      </c>
      <c r="J1441" s="47">
        <v>210000000</v>
      </c>
      <c r="K1441" s="16" t="s">
        <v>62</v>
      </c>
      <c r="L1441" s="3" t="s">
        <v>109</v>
      </c>
      <c r="M1441" s="3" t="s">
        <v>148</v>
      </c>
      <c r="N1441" s="3" t="s">
        <v>158</v>
      </c>
    </row>
    <row r="1442" spans="1:14" x14ac:dyDescent="0.3">
      <c r="A1442" s="36" t="s">
        <v>37</v>
      </c>
      <c r="B1442" s="13">
        <v>116</v>
      </c>
      <c r="C1442" s="48" t="str">
        <f>HYPERLINK("https://uscode.house.gov/statutes/pl/116/159.pdf", "P.L. 116-159")</f>
        <v>P.L. 116-159</v>
      </c>
      <c r="D1442" s="3" t="s">
        <v>2697</v>
      </c>
      <c r="E1442" s="3" t="s">
        <v>2700</v>
      </c>
      <c r="F1442" s="3" t="s">
        <v>2701</v>
      </c>
      <c r="G1442" s="48" t="str">
        <f>HYPERLINK("https://uscode.house.gov/view.xhtml?req=granuleid:USC-prelim-title38-section1710&amp;num=0&amp;edition=prelim", "38 U.S.C. 1710(Note)")</f>
        <v>38 U.S.C. 1710(Note)</v>
      </c>
      <c r="H1442" s="46">
        <v>44834</v>
      </c>
      <c r="I1442" s="13">
        <v>2022</v>
      </c>
      <c r="J1442" s="47">
        <v>3000000</v>
      </c>
      <c r="K1442" s="16" t="s">
        <v>62</v>
      </c>
      <c r="L1442" s="3" t="s">
        <v>265</v>
      </c>
      <c r="M1442" s="3" t="s">
        <v>266</v>
      </c>
      <c r="N1442" s="3" t="s">
        <v>267</v>
      </c>
    </row>
    <row r="1443" spans="1:14" x14ac:dyDescent="0.3">
      <c r="A1443" s="36" t="s">
        <v>37</v>
      </c>
      <c r="B1443" s="13">
        <v>116</v>
      </c>
      <c r="C1443" s="48" t="str">
        <f>HYPERLINK("https://uscode.house.gov/statutes/pl/116/159.pdf", "P.L. 116-159")</f>
        <v>P.L. 116-159</v>
      </c>
      <c r="D1443" s="3" t="s">
        <v>2697</v>
      </c>
      <c r="E1443" s="3" t="s">
        <v>2702</v>
      </c>
      <c r="F1443" s="3" t="s">
        <v>2703</v>
      </c>
      <c r="G1443" s="48" t="str">
        <f>HYPERLINK("https://uscode.house.gov/view.xhtml?req=granuleid:USC-prelim-title38-section1712A&amp;num=0&amp;edition=prelim", "38 U.S.C. 1712A(Note)")</f>
        <v>38 U.S.C. 1712A(Note)</v>
      </c>
      <c r="H1443" s="46">
        <v>44834</v>
      </c>
      <c r="I1443" s="13">
        <v>2022</v>
      </c>
      <c r="J1443" s="47">
        <v>2000000</v>
      </c>
      <c r="K1443" s="16" t="s">
        <v>62</v>
      </c>
      <c r="L1443" s="3" t="s">
        <v>265</v>
      </c>
      <c r="M1443" s="3" t="s">
        <v>266</v>
      </c>
      <c r="N1443" s="3" t="s">
        <v>267</v>
      </c>
    </row>
    <row r="1444" spans="1:14" x14ac:dyDescent="0.3">
      <c r="A1444" s="36" t="s">
        <v>37</v>
      </c>
      <c r="B1444" s="13">
        <v>116</v>
      </c>
      <c r="C1444" s="48" t="str">
        <f>HYPERLINK("https://uscode.house.gov/statutes/pl/116/159.pdf", "P.L. 116-159")</f>
        <v>P.L. 116-159</v>
      </c>
      <c r="D1444" s="3" t="s">
        <v>2697</v>
      </c>
      <c r="E1444" s="3" t="s">
        <v>2704</v>
      </c>
      <c r="F1444" s="3" t="s">
        <v>2705</v>
      </c>
      <c r="G1444" s="48" t="str">
        <f>HYPERLINK("https://uscode.house.gov/view.xhtml?req=granuleid:USC-prelim-title38-section1710&amp;num=0&amp;edition=prelim", "38 U.S.C. 1710(Note)")</f>
        <v>38 U.S.C. 1710(Note)</v>
      </c>
      <c r="H1444" s="46">
        <v>44834</v>
      </c>
      <c r="I1444" s="13">
        <v>2022</v>
      </c>
      <c r="J1444" s="47">
        <v>1500000</v>
      </c>
      <c r="K1444" s="16" t="s">
        <v>62</v>
      </c>
      <c r="L1444" s="3" t="s">
        <v>265</v>
      </c>
      <c r="M1444" s="3" t="s">
        <v>266</v>
      </c>
      <c r="N1444" s="3" t="s">
        <v>267</v>
      </c>
    </row>
    <row r="1445" spans="1:14" x14ac:dyDescent="0.3">
      <c r="A1445" s="36" t="s">
        <v>37</v>
      </c>
      <c r="B1445" s="13">
        <v>116</v>
      </c>
      <c r="C1445" s="48" t="str">
        <f>HYPERLINK("https://uscode.house.gov/statutes/pl/116/159.pdf", "P.L. 116-159")</f>
        <v>P.L. 116-159</v>
      </c>
      <c r="D1445" s="3" t="s">
        <v>2697</v>
      </c>
      <c r="E1445" s="3" t="s">
        <v>2706</v>
      </c>
      <c r="F1445" s="3" t="s">
        <v>2707</v>
      </c>
      <c r="G1445" s="48" t="str">
        <f>HYPERLINK("https://uscode.house.gov/view.xhtml?req=granuleid:USC-prelim-title49-section22406&amp;num=0&amp;edition=prelim", "49 U.S.C. 22406(a)(1)")</f>
        <v>49 U.S.C. 22406(a)(1)</v>
      </c>
      <c r="H1445" s="46">
        <v>44469</v>
      </c>
      <c r="I1445" s="13">
        <v>2021</v>
      </c>
      <c r="J1445" s="16" t="s">
        <v>12</v>
      </c>
      <c r="K1445" s="16" t="s">
        <v>62</v>
      </c>
      <c r="L1445" s="3" t="s">
        <v>109</v>
      </c>
      <c r="M1445" s="3" t="s">
        <v>148</v>
      </c>
      <c r="N1445" s="3" t="s">
        <v>158</v>
      </c>
    </row>
    <row r="1446" spans="1:14" x14ac:dyDescent="0.3">
      <c r="A1446" s="36" t="s">
        <v>37</v>
      </c>
      <c r="B1446" s="13">
        <v>116</v>
      </c>
      <c r="C1446" s="48" t="str">
        <f>HYPERLINK("https://uscode.house.gov/statutes/pl/116/171.pdf", "P.L. 116-171")</f>
        <v>P.L. 116-171</v>
      </c>
      <c r="D1446" s="3" t="s">
        <v>2708</v>
      </c>
      <c r="E1446" s="3" t="s">
        <v>171</v>
      </c>
      <c r="F1446" s="3" t="s">
        <v>2709</v>
      </c>
      <c r="G1446" s="48" t="str">
        <f>HYPERLINK("https://uscode.house.gov/view.xhtml?req=granuleid:USC-prelim-title38-section1720F&amp;num=0&amp;edition=prelim", "38 U.S.C. 1720F(note)")</f>
        <v>38 U.S.C. 1720F(note)</v>
      </c>
      <c r="H1446" s="46">
        <v>45930</v>
      </c>
      <c r="I1446" s="13">
        <v>2025</v>
      </c>
      <c r="J1446" s="47">
        <v>174000000</v>
      </c>
      <c r="K1446" s="16" t="s">
        <v>62</v>
      </c>
      <c r="L1446" s="3" t="s">
        <v>2710</v>
      </c>
      <c r="M1446" s="3" t="s">
        <v>266</v>
      </c>
      <c r="N1446" s="3" t="s">
        <v>267</v>
      </c>
    </row>
    <row r="1447" spans="1:14" x14ac:dyDescent="0.3">
      <c r="A1447" s="36" t="s">
        <v>37</v>
      </c>
      <c r="B1447" s="13">
        <v>116</v>
      </c>
      <c r="C1447" s="48" t="str">
        <f>HYPERLINK("https://uscode.house.gov/statutes/pl/116/173.pdf", "P.L. 116-173")</f>
        <v>P.L. 116-173</v>
      </c>
      <c r="D1447" s="3" t="s">
        <v>2711</v>
      </c>
      <c r="E1447" s="3" t="s">
        <v>952</v>
      </c>
      <c r="F1447" s="3" t="s">
        <v>2712</v>
      </c>
      <c r="G1447" s="48" t="str">
        <f>HYPERLINK("https://uscode.house.gov/view.xhtml?req=granuleid:USC-prelim-title15-section44&amp;num=0&amp;edition=prelim", "15 U.S.C. 44(note)")</f>
        <v>15 U.S.C. 44(note)</v>
      </c>
      <c r="H1447" s="46">
        <v>46660</v>
      </c>
      <c r="I1447" s="13">
        <v>2027</v>
      </c>
      <c r="J1447" s="47">
        <v>100000</v>
      </c>
      <c r="K1447" s="16" t="s">
        <v>62</v>
      </c>
      <c r="L1447" s="3" t="s">
        <v>60</v>
      </c>
      <c r="M1447" s="3" t="s">
        <v>148</v>
      </c>
      <c r="N1447" s="3" t="s">
        <v>43</v>
      </c>
    </row>
    <row r="1448" spans="1:14" x14ac:dyDescent="0.3">
      <c r="A1448" s="36" t="s">
        <v>37</v>
      </c>
      <c r="B1448" s="13">
        <v>116</v>
      </c>
      <c r="C1448" s="48" t="str">
        <f>HYPERLINK("https://uscode.house.gov/statutes/pl/116/174.pdf", "P.L. 116-174")</f>
        <v>P.L. 116-174</v>
      </c>
      <c r="D1448" s="3" t="s">
        <v>2713</v>
      </c>
      <c r="E1448" s="3" t="s">
        <v>149</v>
      </c>
      <c r="F1448" s="3" t="s">
        <v>2714</v>
      </c>
      <c r="G1448" s="49"/>
      <c r="H1448" s="46">
        <v>45565</v>
      </c>
      <c r="I1448" s="13">
        <v>2024</v>
      </c>
      <c r="J1448" s="47">
        <v>5000000</v>
      </c>
      <c r="K1448" s="16" t="s">
        <v>62</v>
      </c>
      <c r="L1448" s="3" t="s">
        <v>47</v>
      </c>
      <c r="M1448" s="3" t="s">
        <v>236</v>
      </c>
      <c r="N1448" s="3" t="s">
        <v>49</v>
      </c>
    </row>
    <row r="1449" spans="1:14" x14ac:dyDescent="0.3">
      <c r="A1449" s="36" t="s">
        <v>37</v>
      </c>
      <c r="B1449" s="13">
        <v>116</v>
      </c>
      <c r="C1449" s="48" t="str">
        <f>HYPERLINK("https://uscode.house.gov/statutes/pl/116/186.pdf", "P.L. 116-186")</f>
        <v>P.L. 116-186</v>
      </c>
      <c r="D1449" s="3" t="s">
        <v>2715</v>
      </c>
      <c r="E1449" s="3" t="s">
        <v>2716</v>
      </c>
      <c r="F1449" s="3" t="s">
        <v>2717</v>
      </c>
      <c r="G1449" s="48" t="str">
        <f>HYPERLINK("https://uscode.house.gov/view.xhtml?req=granuleid:USC-prelim-title16-section8102&amp;num=0&amp;edition=prelim", "16 U.S.C. 8102(e)")</f>
        <v>16 U.S.C. 8102(e)</v>
      </c>
      <c r="H1449" s="46">
        <v>45930</v>
      </c>
      <c r="I1449" s="13">
        <v>2025</v>
      </c>
      <c r="J1449" s="47">
        <v>12000000</v>
      </c>
      <c r="K1449" s="16" t="s">
        <v>62</v>
      </c>
      <c r="L1449" s="3" t="s">
        <v>47</v>
      </c>
      <c r="M1449" s="3" t="s">
        <v>67</v>
      </c>
      <c r="N1449" s="3" t="s">
        <v>49</v>
      </c>
    </row>
    <row r="1450" spans="1:14" x14ac:dyDescent="0.3">
      <c r="A1450" s="36" t="s">
        <v>37</v>
      </c>
      <c r="B1450" s="13">
        <v>116</v>
      </c>
      <c r="C1450" s="48" t="str">
        <f t="shared" ref="C1450:C1468" si="56">HYPERLINK("https://uscode.house.gov/statutes/pl/116/188.pdf", "P.L. 116-188")</f>
        <v>P.L. 116-188</v>
      </c>
      <c r="D1450" s="3" t="s">
        <v>2718</v>
      </c>
      <c r="E1450" s="3" t="s">
        <v>1362</v>
      </c>
      <c r="F1450" s="3" t="s">
        <v>2719</v>
      </c>
      <c r="G1450" s="48" t="str">
        <f>HYPERLINK("https://uscode.house.gov/view.xhtml?req=granuleid:USC-prelim-title7-section8355&amp;num=0&amp;edition=prelim", "7 U.S.C. 8355(d)")</f>
        <v>7 U.S.C. 8355(d)</v>
      </c>
      <c r="H1450" s="46">
        <v>45930</v>
      </c>
      <c r="I1450" s="13">
        <v>2025</v>
      </c>
      <c r="J1450" s="47">
        <v>15000000</v>
      </c>
      <c r="K1450" s="16" t="s">
        <v>62</v>
      </c>
      <c r="L1450" s="3" t="s">
        <v>47</v>
      </c>
      <c r="M1450" s="3" t="s">
        <v>67</v>
      </c>
      <c r="N1450" s="3" t="s">
        <v>49</v>
      </c>
    </row>
    <row r="1451" spans="1:14" x14ac:dyDescent="0.3">
      <c r="A1451" s="36" t="s">
        <v>37</v>
      </c>
      <c r="B1451" s="13">
        <v>116</v>
      </c>
      <c r="C1451" s="48" t="str">
        <f t="shared" si="56"/>
        <v>P.L. 116-188</v>
      </c>
      <c r="D1451" s="3" t="s">
        <v>2718</v>
      </c>
      <c r="E1451" s="3" t="s">
        <v>2720</v>
      </c>
      <c r="F1451" s="3" t="s">
        <v>2721</v>
      </c>
      <c r="G1451" s="48" t="str">
        <f>HYPERLINK("https://uscode.house.gov/view.xhtml?req=granuleid:USC-prelim-title16-section667&amp;num=0&amp;edition=prelim", "16 U.S.C. 667(h)")</f>
        <v>16 U.S.C. 667(h)</v>
      </c>
      <c r="H1451" s="46">
        <v>45930</v>
      </c>
      <c r="I1451" s="13">
        <v>2025</v>
      </c>
      <c r="J1451" s="47">
        <v>5000000</v>
      </c>
      <c r="K1451" s="16" t="s">
        <v>62</v>
      </c>
      <c r="L1451" s="3" t="s">
        <v>47</v>
      </c>
      <c r="M1451" s="3" t="s">
        <v>67</v>
      </c>
      <c r="N1451" s="3" t="s">
        <v>49</v>
      </c>
    </row>
    <row r="1452" spans="1:14" x14ac:dyDescent="0.3">
      <c r="A1452" s="36" t="s">
        <v>37</v>
      </c>
      <c r="B1452" s="13">
        <v>116</v>
      </c>
      <c r="C1452" s="48" t="str">
        <f t="shared" si="56"/>
        <v>P.L. 116-188</v>
      </c>
      <c r="D1452" s="3" t="s">
        <v>2718</v>
      </c>
      <c r="E1452" s="3" t="s">
        <v>2720</v>
      </c>
      <c r="F1452" s="3" t="s">
        <v>2722</v>
      </c>
      <c r="G1452" s="48" t="str">
        <f>HYPERLINK("https://uscode.house.gov/view.xhtml?req=granuleid:USC-prelim-title16-section667&amp;num=0&amp;edition=prelim", "16 U.S.C. 667(h)")</f>
        <v>16 U.S.C. 667(h)</v>
      </c>
      <c r="H1452" s="46">
        <v>44469</v>
      </c>
      <c r="I1452" s="13">
        <v>2021</v>
      </c>
      <c r="J1452" s="47">
        <v>2400000</v>
      </c>
      <c r="K1452" s="47">
        <v>1000000</v>
      </c>
      <c r="L1452" s="3" t="s">
        <v>47</v>
      </c>
      <c r="M1452" s="3" t="s">
        <v>67</v>
      </c>
      <c r="N1452" s="3" t="s">
        <v>49</v>
      </c>
    </row>
    <row r="1453" spans="1:14" x14ac:dyDescent="0.3">
      <c r="A1453" s="36" t="s">
        <v>37</v>
      </c>
      <c r="B1453" s="13">
        <v>116</v>
      </c>
      <c r="C1453" s="48" t="str">
        <f t="shared" si="56"/>
        <v>P.L. 116-188</v>
      </c>
      <c r="D1453" s="3" t="s">
        <v>2718</v>
      </c>
      <c r="E1453" s="3" t="s">
        <v>190</v>
      </c>
      <c r="F1453" s="3" t="s">
        <v>2723</v>
      </c>
      <c r="G1453" s="48" t="str">
        <f>HYPERLINK("https://uscode.house.gov/view.xhtml?req=granuleid:USC-prelim-title16-section666c-1&amp;num=0&amp;edition=prelim", "16 U.S.C. 666c-1")</f>
        <v>16 U.S.C. 666c-1</v>
      </c>
      <c r="H1453" s="46">
        <v>45930</v>
      </c>
      <c r="I1453" s="13">
        <v>2025</v>
      </c>
      <c r="J1453" s="47">
        <v>2500000</v>
      </c>
      <c r="K1453" s="16" t="s">
        <v>62</v>
      </c>
      <c r="L1453" s="3" t="s">
        <v>47</v>
      </c>
      <c r="M1453" s="3" t="s">
        <v>67</v>
      </c>
      <c r="N1453" s="3" t="s">
        <v>49</v>
      </c>
    </row>
    <row r="1454" spans="1:14" x14ac:dyDescent="0.3">
      <c r="A1454" s="36" t="s">
        <v>37</v>
      </c>
      <c r="B1454" s="13">
        <v>116</v>
      </c>
      <c r="C1454" s="48" t="str">
        <f t="shared" si="56"/>
        <v>P.L. 116-188</v>
      </c>
      <c r="D1454" s="3" t="s">
        <v>2718</v>
      </c>
      <c r="E1454" s="3" t="s">
        <v>909</v>
      </c>
      <c r="F1454" s="3" t="s">
        <v>2724</v>
      </c>
      <c r="G1454" s="48" t="str">
        <f>HYPERLINK("https://uscode.house.gov/view.xhtml?req=granuleid:USC-prelim-title33-section1267&amp;num=0&amp;edition=prelim", "33 U.S.C. 1267(j)")</f>
        <v>33 U.S.C. 1267(j)</v>
      </c>
      <c r="H1454" s="46">
        <v>45930</v>
      </c>
      <c r="I1454" s="13">
        <v>2025</v>
      </c>
      <c r="J1454" s="47">
        <v>92000000</v>
      </c>
      <c r="K1454" s="16" t="s">
        <v>62</v>
      </c>
      <c r="L1454" s="3" t="s">
        <v>109</v>
      </c>
      <c r="M1454" s="3" t="s">
        <v>67</v>
      </c>
      <c r="N1454" s="3" t="s">
        <v>49</v>
      </c>
    </row>
    <row r="1455" spans="1:14" x14ac:dyDescent="0.3">
      <c r="A1455" s="36" t="s">
        <v>37</v>
      </c>
      <c r="B1455" s="13">
        <v>116</v>
      </c>
      <c r="C1455" s="48" t="str">
        <f t="shared" si="56"/>
        <v>P.L. 116-188</v>
      </c>
      <c r="D1455" s="3" t="s">
        <v>2718</v>
      </c>
      <c r="E1455" s="3" t="s">
        <v>1910</v>
      </c>
      <c r="F1455" s="3" t="s">
        <v>2725</v>
      </c>
      <c r="G1455" s="48" t="str">
        <f>HYPERLINK("https://uscode.house.gov/view.xhtml?req=granuleid:USC-prelim-title54-section320101&amp;num=0&amp;edition=prelim", "54 U.S.C. 320101(note)")</f>
        <v>54 U.S.C. 320101(note)</v>
      </c>
      <c r="H1455" s="46">
        <v>45930</v>
      </c>
      <c r="I1455" s="13">
        <v>2025</v>
      </c>
      <c r="J1455" s="47">
        <v>3000000</v>
      </c>
      <c r="K1455" s="16" t="s">
        <v>62</v>
      </c>
      <c r="L1455" s="3" t="s">
        <v>47</v>
      </c>
      <c r="M1455" s="3" t="s">
        <v>67</v>
      </c>
      <c r="N1455" s="3" t="s">
        <v>49</v>
      </c>
    </row>
    <row r="1456" spans="1:14" x14ac:dyDescent="0.3">
      <c r="A1456" s="36" t="s">
        <v>37</v>
      </c>
      <c r="B1456" s="13">
        <v>116</v>
      </c>
      <c r="C1456" s="48" t="str">
        <f t="shared" si="56"/>
        <v>P.L. 116-188</v>
      </c>
      <c r="D1456" s="3" t="s">
        <v>2718</v>
      </c>
      <c r="E1456" s="3" t="s">
        <v>2726</v>
      </c>
      <c r="F1456" s="3" t="s">
        <v>2727</v>
      </c>
      <c r="G1456" s="48" t="str">
        <f>HYPERLINK("https://uscode.house.gov/view.xhtml?req=granuleid:USC-prelim-title33-section1267&amp;num=0&amp;edition=prelim", "33 U.S.C. 1267(note)")</f>
        <v>33 U.S.C. 1267(note)</v>
      </c>
      <c r="H1456" s="46">
        <v>45930</v>
      </c>
      <c r="I1456" s="13">
        <v>2025</v>
      </c>
      <c r="J1456" s="47">
        <v>15000000</v>
      </c>
      <c r="K1456" s="16" t="s">
        <v>62</v>
      </c>
      <c r="L1456" s="3" t="s">
        <v>47</v>
      </c>
      <c r="M1456" s="3" t="s">
        <v>67</v>
      </c>
      <c r="N1456" s="3" t="s">
        <v>49</v>
      </c>
    </row>
    <row r="1457" spans="1:14" x14ac:dyDescent="0.3">
      <c r="A1457" s="36" t="s">
        <v>37</v>
      </c>
      <c r="B1457" s="13">
        <v>116</v>
      </c>
      <c r="C1457" s="48" t="str">
        <f t="shared" si="56"/>
        <v>P.L. 116-188</v>
      </c>
      <c r="D1457" s="3" t="s">
        <v>2718</v>
      </c>
      <c r="E1457" s="3" t="s">
        <v>2728</v>
      </c>
      <c r="F1457" s="3" t="s">
        <v>2729</v>
      </c>
      <c r="G1457" s="48" t="str">
        <f>HYPERLINK("https://uscode.house.gov/view.xhtml?req=granuleid:USC-prelim-title16-section8212&amp;num=0&amp;edition=prelim", "16 U.S.C. 8212")</f>
        <v>16 U.S.C. 8212</v>
      </c>
      <c r="H1457" s="46">
        <v>45930</v>
      </c>
      <c r="I1457" s="13">
        <v>2025</v>
      </c>
      <c r="J1457" s="47">
        <v>7200000</v>
      </c>
      <c r="K1457" s="16" t="s">
        <v>62</v>
      </c>
      <c r="L1457" s="3" t="s">
        <v>47</v>
      </c>
      <c r="M1457" s="3" t="s">
        <v>67</v>
      </c>
      <c r="N1457" s="3" t="s">
        <v>49</v>
      </c>
    </row>
    <row r="1458" spans="1:14" x14ac:dyDescent="0.3">
      <c r="A1458" s="36" t="s">
        <v>37</v>
      </c>
      <c r="B1458" s="13">
        <v>116</v>
      </c>
      <c r="C1458" s="48" t="str">
        <f t="shared" si="56"/>
        <v>P.L. 116-188</v>
      </c>
      <c r="D1458" s="3" t="s">
        <v>2718</v>
      </c>
      <c r="E1458" s="3" t="s">
        <v>2730</v>
      </c>
      <c r="F1458" s="3" t="s">
        <v>2731</v>
      </c>
      <c r="G1458" s="48" t="str">
        <f>HYPERLINK("https://uscode.house.gov/view.xhtml?req=granuleid:USC-prelim-title16-section8212&amp;num=0&amp;edition=prelim", "16 U.S.C. 8212")</f>
        <v>16 U.S.C. 8212</v>
      </c>
      <c r="H1458" s="46">
        <v>45930</v>
      </c>
      <c r="I1458" s="13">
        <v>2025</v>
      </c>
      <c r="J1458" s="16" t="s">
        <v>12</v>
      </c>
      <c r="K1458" s="16" t="s">
        <v>62</v>
      </c>
      <c r="L1458" s="3" t="s">
        <v>47</v>
      </c>
      <c r="M1458" s="3" t="s">
        <v>67</v>
      </c>
      <c r="N1458" s="3" t="s">
        <v>49</v>
      </c>
    </row>
    <row r="1459" spans="1:14" x14ac:dyDescent="0.3">
      <c r="A1459" s="36" t="s">
        <v>37</v>
      </c>
      <c r="B1459" s="13">
        <v>116</v>
      </c>
      <c r="C1459" s="48" t="str">
        <f t="shared" si="56"/>
        <v>P.L. 116-188</v>
      </c>
      <c r="D1459" s="3" t="s">
        <v>2718</v>
      </c>
      <c r="E1459" s="3" t="s">
        <v>2730</v>
      </c>
      <c r="F1459" s="3" t="s">
        <v>2732</v>
      </c>
      <c r="G1459" s="48" t="str">
        <f>HYPERLINK("https://uscode.house.gov/view.xhtml?req=granuleid:USC-prelim-title16-section8212&amp;num=0&amp;edition=prelim", "16 U.S.C. 8212")</f>
        <v>16 U.S.C. 8212</v>
      </c>
      <c r="H1459" s="46">
        <v>45930</v>
      </c>
      <c r="I1459" s="13">
        <v>2025</v>
      </c>
      <c r="J1459" s="47">
        <v>400000</v>
      </c>
      <c r="K1459" s="16" t="s">
        <v>62</v>
      </c>
      <c r="L1459" s="3" t="s">
        <v>47</v>
      </c>
      <c r="M1459" s="3" t="s">
        <v>67</v>
      </c>
      <c r="N1459" s="3" t="s">
        <v>49</v>
      </c>
    </row>
    <row r="1460" spans="1:14" x14ac:dyDescent="0.3">
      <c r="A1460" s="36" t="s">
        <v>37</v>
      </c>
      <c r="B1460" s="13">
        <v>116</v>
      </c>
      <c r="C1460" s="48" t="str">
        <f t="shared" si="56"/>
        <v>P.L. 116-188</v>
      </c>
      <c r="D1460" s="3" t="s">
        <v>2718</v>
      </c>
      <c r="E1460" s="3" t="s">
        <v>646</v>
      </c>
      <c r="F1460" s="3" t="s">
        <v>2733</v>
      </c>
      <c r="G1460" s="48" t="str">
        <f>HYPERLINK("https://uscode.house.gov/view.xhtml?req=granuleid:USC-prelim-title16-section3709&amp;num=0&amp;edition=prelim", "16 U.S.C. 3709")</f>
        <v>16 U.S.C. 3709</v>
      </c>
      <c r="H1460" s="46">
        <v>45930</v>
      </c>
      <c r="I1460" s="13">
        <v>2025</v>
      </c>
      <c r="J1460" s="47">
        <v>15000000</v>
      </c>
      <c r="K1460" s="16" t="s">
        <v>62</v>
      </c>
      <c r="L1460" s="3" t="s">
        <v>47</v>
      </c>
      <c r="M1460" s="3" t="s">
        <v>67</v>
      </c>
      <c r="N1460" s="3" t="s">
        <v>49</v>
      </c>
    </row>
    <row r="1461" spans="1:14" x14ac:dyDescent="0.3">
      <c r="A1461" s="36" t="s">
        <v>37</v>
      </c>
      <c r="B1461" s="13">
        <v>116</v>
      </c>
      <c r="C1461" s="48" t="str">
        <f t="shared" si="56"/>
        <v>P.L. 116-188</v>
      </c>
      <c r="D1461" s="3" t="s">
        <v>2718</v>
      </c>
      <c r="E1461" s="3" t="s">
        <v>222</v>
      </c>
      <c r="F1461" s="3" t="s">
        <v>2734</v>
      </c>
      <c r="G1461" s="48" t="str">
        <f>HYPERLINK("https://uscode.house.gov/view.xhtml?req=granuleid:USC-prelim-title16-section4406&amp;num=0&amp;edition=prelim", "16 U.S.C. 4406")</f>
        <v>16 U.S.C. 4406</v>
      </c>
      <c r="H1461" s="46">
        <v>45930</v>
      </c>
      <c r="I1461" s="13">
        <v>2025</v>
      </c>
      <c r="J1461" s="47">
        <v>60000000</v>
      </c>
      <c r="K1461" s="16" t="s">
        <v>62</v>
      </c>
      <c r="L1461" s="3" t="s">
        <v>47</v>
      </c>
      <c r="M1461" s="3" t="s">
        <v>67</v>
      </c>
      <c r="N1461" s="3" t="s">
        <v>49</v>
      </c>
    </row>
    <row r="1462" spans="1:14" x14ac:dyDescent="0.3">
      <c r="A1462" s="36" t="s">
        <v>37</v>
      </c>
      <c r="B1462" s="13">
        <v>116</v>
      </c>
      <c r="C1462" s="48" t="str">
        <f t="shared" si="56"/>
        <v>P.L. 116-188</v>
      </c>
      <c r="D1462" s="3" t="s">
        <v>2718</v>
      </c>
      <c r="E1462" s="3" t="s">
        <v>365</v>
      </c>
      <c r="F1462" s="3" t="s">
        <v>2735</v>
      </c>
      <c r="G1462" s="48" t="str">
        <f>HYPERLINK("https://uscode.house.gov/view.xhtml?req=granuleid:USC-prelim-title16-section8212&amp;num=0&amp;edition=prelim", "16 U.S.C. 8212")</f>
        <v>16 U.S.C. 8212</v>
      </c>
      <c r="H1462" s="46">
        <v>45930</v>
      </c>
      <c r="I1462" s="13">
        <v>2025</v>
      </c>
      <c r="J1462" s="47">
        <v>400000</v>
      </c>
      <c r="K1462" s="16" t="s">
        <v>62</v>
      </c>
      <c r="L1462" s="3" t="s">
        <v>47</v>
      </c>
      <c r="M1462" s="3" t="s">
        <v>67</v>
      </c>
      <c r="N1462" s="3" t="s">
        <v>43</v>
      </c>
    </row>
    <row r="1463" spans="1:14" x14ac:dyDescent="0.3">
      <c r="A1463" s="36" t="s">
        <v>37</v>
      </c>
      <c r="B1463" s="13">
        <v>116</v>
      </c>
      <c r="C1463" s="48" t="str">
        <f t="shared" si="56"/>
        <v>P.L. 116-188</v>
      </c>
      <c r="D1463" s="3" t="s">
        <v>2718</v>
      </c>
      <c r="E1463" s="3" t="s">
        <v>365</v>
      </c>
      <c r="F1463" s="3" t="s">
        <v>2736</v>
      </c>
      <c r="G1463" s="48" t="str">
        <f>HYPERLINK("https://uscode.house.gov/view.xhtml?req=granuleid:USC-prelim-title16-section8212&amp;num=0&amp;edition=prelim", "16 U.S.C. 8212(a)(3)")</f>
        <v>16 U.S.C. 8212(a)(3)</v>
      </c>
      <c r="H1463" s="46">
        <v>45930</v>
      </c>
      <c r="I1463" s="13">
        <v>2025</v>
      </c>
      <c r="J1463" s="47">
        <v>400000</v>
      </c>
      <c r="K1463" s="16" t="s">
        <v>62</v>
      </c>
      <c r="L1463" s="3" t="s">
        <v>47</v>
      </c>
      <c r="M1463" s="3" t="s">
        <v>67</v>
      </c>
      <c r="N1463" s="3" t="s">
        <v>49</v>
      </c>
    </row>
    <row r="1464" spans="1:14" x14ac:dyDescent="0.3">
      <c r="A1464" s="36" t="s">
        <v>37</v>
      </c>
      <c r="B1464" s="13">
        <v>116</v>
      </c>
      <c r="C1464" s="48" t="str">
        <f t="shared" si="56"/>
        <v>P.L. 116-188</v>
      </c>
      <c r="D1464" s="3" t="s">
        <v>2718</v>
      </c>
      <c r="E1464" s="3" t="s">
        <v>365</v>
      </c>
      <c r="F1464" s="3" t="s">
        <v>2737</v>
      </c>
      <c r="G1464" s="48" t="str">
        <f>HYPERLINK("https://uscode.house.gov/view.xhtml?req=granuleid:USC-prelim-title16-section8212&amp;num=0&amp;edition=prelim", "16 U.S.C. 8212")</f>
        <v>16 U.S.C. 8212</v>
      </c>
      <c r="H1464" s="46">
        <v>45930</v>
      </c>
      <c r="I1464" s="13">
        <v>2025</v>
      </c>
      <c r="J1464" s="47">
        <v>400000</v>
      </c>
      <c r="K1464" s="16" t="s">
        <v>62</v>
      </c>
      <c r="L1464" s="3" t="s">
        <v>47</v>
      </c>
      <c r="M1464" s="3" t="s">
        <v>67</v>
      </c>
      <c r="N1464" s="3" t="s">
        <v>49</v>
      </c>
    </row>
    <row r="1465" spans="1:14" x14ac:dyDescent="0.3">
      <c r="A1465" s="36" t="s">
        <v>37</v>
      </c>
      <c r="B1465" s="13">
        <v>116</v>
      </c>
      <c r="C1465" s="48" t="str">
        <f t="shared" si="56"/>
        <v>P.L. 116-188</v>
      </c>
      <c r="D1465" s="3" t="s">
        <v>2718</v>
      </c>
      <c r="E1465" s="3" t="s">
        <v>365</v>
      </c>
      <c r="F1465" s="3" t="s">
        <v>2738</v>
      </c>
      <c r="G1465" s="48" t="str">
        <f>HYPERLINK("https://uscode.house.gov/view.xhtml?req=granuleid:USC-prelim-title16-section8212&amp;num=0&amp;edition=prelim", "16 U.S.C. 8212")</f>
        <v>16 U.S.C. 8212</v>
      </c>
      <c r="H1465" s="46">
        <v>45930</v>
      </c>
      <c r="I1465" s="13">
        <v>2025</v>
      </c>
      <c r="J1465" s="47">
        <v>400000</v>
      </c>
      <c r="K1465" s="16" t="s">
        <v>62</v>
      </c>
      <c r="L1465" s="3" t="s">
        <v>47</v>
      </c>
      <c r="M1465" s="3" t="s">
        <v>67</v>
      </c>
      <c r="N1465" s="3" t="s">
        <v>406</v>
      </c>
    </row>
    <row r="1466" spans="1:14" x14ac:dyDescent="0.3">
      <c r="A1466" s="36" t="s">
        <v>37</v>
      </c>
      <c r="B1466" s="13">
        <v>116</v>
      </c>
      <c r="C1466" s="48" t="str">
        <f t="shared" si="56"/>
        <v>P.L. 116-188</v>
      </c>
      <c r="D1466" s="3" t="s">
        <v>2718</v>
      </c>
      <c r="E1466" s="3" t="s">
        <v>190</v>
      </c>
      <c r="F1466" s="3" t="s">
        <v>2739</v>
      </c>
      <c r="G1466" s="48" t="str">
        <f>HYPERLINK("https://uscode.house.gov/view.xhtml?req=granuleid:USC-prelim-title16-section666c-1&amp;num=0&amp;edition=prelim", "16 U.S.C. 666c-1")</f>
        <v>16 U.S.C. 666c-1</v>
      </c>
      <c r="H1466" s="46">
        <v>45930</v>
      </c>
      <c r="I1466" s="13">
        <v>2025</v>
      </c>
      <c r="J1466" s="47">
        <v>2500000</v>
      </c>
      <c r="K1466" s="16" t="s">
        <v>62</v>
      </c>
      <c r="L1466" s="3" t="s">
        <v>47</v>
      </c>
      <c r="M1466" s="3" t="s">
        <v>67</v>
      </c>
      <c r="N1466" s="3" t="s">
        <v>58</v>
      </c>
    </row>
    <row r="1467" spans="1:14" x14ac:dyDescent="0.3">
      <c r="A1467" s="36" t="s">
        <v>37</v>
      </c>
      <c r="B1467" s="13">
        <v>116</v>
      </c>
      <c r="C1467" s="48" t="str">
        <f t="shared" si="56"/>
        <v>P.L. 116-188</v>
      </c>
      <c r="D1467" s="3" t="s">
        <v>2718</v>
      </c>
      <c r="E1467" s="3" t="s">
        <v>646</v>
      </c>
      <c r="F1467" s="3" t="s">
        <v>2740</v>
      </c>
      <c r="G1467" s="48" t="str">
        <f>HYPERLINK("https://uscode.house.gov/view.xhtml?req=granuleid:USC-prelim-title16-section3709&amp;num=0&amp;edition=prelim", "16 U.S.C. 3709(1)(B)")</f>
        <v>16 U.S.C. 3709(1)(B)</v>
      </c>
      <c r="H1467" s="46">
        <v>45930</v>
      </c>
      <c r="I1467" s="13">
        <v>2025</v>
      </c>
      <c r="J1467" s="47">
        <v>5000000</v>
      </c>
      <c r="K1467" s="16" t="s">
        <v>62</v>
      </c>
      <c r="L1467" s="3" t="s">
        <v>47</v>
      </c>
      <c r="M1467" s="3" t="s">
        <v>67</v>
      </c>
      <c r="N1467" s="3" t="s">
        <v>406</v>
      </c>
    </row>
    <row r="1468" spans="1:14" x14ac:dyDescent="0.3">
      <c r="A1468" s="36" t="s">
        <v>37</v>
      </c>
      <c r="B1468" s="13">
        <v>116</v>
      </c>
      <c r="C1468" s="48" t="str">
        <f t="shared" si="56"/>
        <v>P.L. 116-188</v>
      </c>
      <c r="D1468" s="3" t="s">
        <v>2718</v>
      </c>
      <c r="E1468" s="3" t="s">
        <v>646</v>
      </c>
      <c r="F1468" s="3" t="s">
        <v>2741</v>
      </c>
      <c r="G1468" s="48" t="str">
        <f>HYPERLINK("https://uscode.house.gov/view.xhtml?req=granuleid:USC-prelim-title16-section3709&amp;num=0&amp;edition=prelim", "16 U.S.C. 3709(1)(C)")</f>
        <v>16 U.S.C. 3709(1)(C)</v>
      </c>
      <c r="H1468" s="46">
        <v>45930</v>
      </c>
      <c r="I1468" s="13">
        <v>2025</v>
      </c>
      <c r="J1468" s="47">
        <v>5000000</v>
      </c>
      <c r="K1468" s="16" t="s">
        <v>62</v>
      </c>
      <c r="L1468" s="3" t="s">
        <v>47</v>
      </c>
      <c r="M1468" s="3" t="s">
        <v>67</v>
      </c>
      <c r="N1468" s="3" t="s">
        <v>43</v>
      </c>
    </row>
    <row r="1469" spans="1:14" x14ac:dyDescent="0.3">
      <c r="A1469" s="36" t="s">
        <v>37</v>
      </c>
      <c r="B1469" s="13">
        <v>116</v>
      </c>
      <c r="C1469" s="48" t="str">
        <f>HYPERLINK("https://uscode.house.gov/statutes/pl/116/216.pdf", "P.L. 116-216")</f>
        <v>P.L. 116-216</v>
      </c>
      <c r="D1469" s="3" t="s">
        <v>2742</v>
      </c>
      <c r="E1469" s="3" t="s">
        <v>105</v>
      </c>
      <c r="F1469" s="3" t="s">
        <v>2743</v>
      </c>
      <c r="G1469" s="48" t="str">
        <f>HYPERLINK("https://uscode.house.gov/view.xhtml?req=granuleid:USC-prelim-title7-section87h&amp;num=0&amp;edition=prelim", "7 U.S.C. 87h")</f>
        <v>7 U.S.C. 87h</v>
      </c>
      <c r="H1469" s="46">
        <v>45930</v>
      </c>
      <c r="I1469" s="13">
        <v>2025</v>
      </c>
      <c r="J1469" s="47">
        <v>23000000</v>
      </c>
      <c r="K1469" s="16" t="s">
        <v>62</v>
      </c>
      <c r="L1469" s="3" t="s">
        <v>1105</v>
      </c>
      <c r="M1469" s="3" t="s">
        <v>586</v>
      </c>
      <c r="N1469" s="3" t="s">
        <v>406</v>
      </c>
    </row>
    <row r="1470" spans="1:14" x14ac:dyDescent="0.3">
      <c r="A1470" s="36" t="s">
        <v>37</v>
      </c>
      <c r="B1470" s="13">
        <v>116</v>
      </c>
      <c r="C1470" s="48" t="str">
        <f>HYPERLINK("https://uscode.house.gov/statutes/pl/116/221.pdf", "P.L. 116-221")</f>
        <v>P.L. 116-221</v>
      </c>
      <c r="D1470" s="3" t="s">
        <v>2744</v>
      </c>
      <c r="E1470" s="3" t="s">
        <v>207</v>
      </c>
      <c r="F1470" s="3" t="s">
        <v>2745</v>
      </c>
      <c r="G1470" s="48" t="str">
        <f>HYPERLINK("https://uscode.house.gov/view.xhtml?req=granuleid:USC-prelim-title33-section1131&amp;num=0&amp;edition=prelim", "33 U.S.C. 1131(a)")</f>
        <v>33 U.S.C. 1131(a)</v>
      </c>
      <c r="H1470" s="46">
        <v>45930</v>
      </c>
      <c r="I1470" s="13">
        <v>2025</v>
      </c>
      <c r="J1470" s="47">
        <v>105700000</v>
      </c>
      <c r="K1470" s="16" t="s">
        <v>62</v>
      </c>
      <c r="L1470" s="3" t="s">
        <v>47</v>
      </c>
      <c r="M1470" s="3" t="s">
        <v>148</v>
      </c>
      <c r="N1470" s="3" t="s">
        <v>43</v>
      </c>
    </row>
    <row r="1471" spans="1:14" x14ac:dyDescent="0.3">
      <c r="A1471" s="36" t="s">
        <v>37</v>
      </c>
      <c r="B1471" s="13">
        <v>116</v>
      </c>
      <c r="C1471" s="48" t="str">
        <f>HYPERLINK("https://uscode.house.gov/statutes/pl/116/223.pdf", "P.L. 116-223")</f>
        <v>P.L. 116-223</v>
      </c>
      <c r="D1471" s="3" t="s">
        <v>2746</v>
      </c>
      <c r="E1471" s="3" t="s">
        <v>2747</v>
      </c>
      <c r="F1471" s="3" t="s">
        <v>2748</v>
      </c>
      <c r="G1471" s="49"/>
      <c r="H1471" s="46">
        <v>45930</v>
      </c>
      <c r="I1471" s="13">
        <v>2025</v>
      </c>
      <c r="J1471" s="47">
        <v>4000000</v>
      </c>
      <c r="K1471" s="16" t="s">
        <v>62</v>
      </c>
      <c r="L1471" s="3" t="s">
        <v>47</v>
      </c>
      <c r="M1471" s="3" t="s">
        <v>148</v>
      </c>
      <c r="N1471" s="3" t="s">
        <v>43</v>
      </c>
    </row>
    <row r="1472" spans="1:14" x14ac:dyDescent="0.3">
      <c r="A1472" s="36" t="s">
        <v>37</v>
      </c>
      <c r="B1472" s="13">
        <v>116</v>
      </c>
      <c r="C1472" s="48" t="str">
        <f t="shared" ref="C1472:C1477" si="57">HYPERLINK("https://uscode.house.gov/statutes/pl/116/224.pdf", "P.L. 116-224")</f>
        <v>P.L. 116-224</v>
      </c>
      <c r="D1472" s="3" t="s">
        <v>2749</v>
      </c>
      <c r="E1472" s="3" t="s">
        <v>1920</v>
      </c>
      <c r="F1472" s="3" t="s">
        <v>2750</v>
      </c>
      <c r="G1472" s="48" t="str">
        <f>HYPERLINK("https://uscode.house.gov/view.xhtml?req=granuleid:USC-prelim-title33-section1958&amp;num=0&amp;edition=prelim", "33 U.S.C. 1958(a)")</f>
        <v>33 U.S.C. 1958(a)</v>
      </c>
      <c r="H1472" s="46">
        <v>44834</v>
      </c>
      <c r="I1472" s="13">
        <v>2022</v>
      </c>
      <c r="J1472" s="47">
        <v>15000000</v>
      </c>
      <c r="K1472" s="47">
        <v>500000</v>
      </c>
      <c r="L1472" s="3" t="s">
        <v>47</v>
      </c>
      <c r="M1472" s="3" t="s">
        <v>148</v>
      </c>
      <c r="N1472" s="3" t="s">
        <v>43</v>
      </c>
    </row>
    <row r="1473" spans="1:14" x14ac:dyDescent="0.3">
      <c r="A1473" s="36" t="s">
        <v>37</v>
      </c>
      <c r="B1473" s="13">
        <v>116</v>
      </c>
      <c r="C1473" s="48" t="str">
        <f t="shared" si="57"/>
        <v>P.L. 116-224</v>
      </c>
      <c r="D1473" s="3" t="s">
        <v>2749</v>
      </c>
      <c r="E1473" s="3" t="s">
        <v>2751</v>
      </c>
      <c r="F1473" s="3" t="s">
        <v>2752</v>
      </c>
      <c r="G1473" s="49"/>
      <c r="H1473" s="46">
        <v>45565</v>
      </c>
      <c r="I1473" s="13">
        <v>2024</v>
      </c>
      <c r="J1473" s="47">
        <v>10000000</v>
      </c>
      <c r="K1473" s="16" t="s">
        <v>62</v>
      </c>
      <c r="L1473" s="3" t="s">
        <v>47</v>
      </c>
      <c r="M1473" s="3" t="s">
        <v>148</v>
      </c>
      <c r="N1473" s="3" t="s">
        <v>43</v>
      </c>
    </row>
    <row r="1474" spans="1:14" x14ac:dyDescent="0.3">
      <c r="A1474" s="36" t="s">
        <v>37</v>
      </c>
      <c r="B1474" s="13">
        <v>116</v>
      </c>
      <c r="C1474" s="48" t="str">
        <f t="shared" si="57"/>
        <v>P.L. 116-224</v>
      </c>
      <c r="D1474" s="3" t="s">
        <v>2749</v>
      </c>
      <c r="E1474" s="3" t="s">
        <v>2753</v>
      </c>
      <c r="F1474" s="3" t="s">
        <v>2754</v>
      </c>
      <c r="G1474" s="49"/>
      <c r="H1474" s="46">
        <v>45930</v>
      </c>
      <c r="I1474" s="13">
        <v>2025</v>
      </c>
      <c r="J1474" s="47">
        <v>55000000</v>
      </c>
      <c r="K1474" s="16" t="s">
        <v>62</v>
      </c>
      <c r="L1474" s="3" t="s">
        <v>109</v>
      </c>
      <c r="M1474" s="3" t="s">
        <v>67</v>
      </c>
      <c r="N1474" s="3" t="s">
        <v>58</v>
      </c>
    </row>
    <row r="1475" spans="1:14" x14ac:dyDescent="0.3">
      <c r="A1475" s="36" t="s">
        <v>37</v>
      </c>
      <c r="B1475" s="13">
        <v>116</v>
      </c>
      <c r="C1475" s="48" t="str">
        <f t="shared" si="57"/>
        <v>P.L. 116-224</v>
      </c>
      <c r="D1475" s="3" t="s">
        <v>2749</v>
      </c>
      <c r="E1475" s="3" t="s">
        <v>2753</v>
      </c>
      <c r="F1475" s="3" t="s">
        <v>2755</v>
      </c>
      <c r="G1475" s="49"/>
      <c r="H1475" s="46">
        <v>45930</v>
      </c>
      <c r="I1475" s="13">
        <v>2025</v>
      </c>
      <c r="J1475" s="47">
        <v>10000000</v>
      </c>
      <c r="K1475" s="16" t="s">
        <v>62</v>
      </c>
      <c r="L1475" s="3" t="s">
        <v>109</v>
      </c>
      <c r="M1475" s="3" t="s">
        <v>67</v>
      </c>
      <c r="N1475" s="3" t="s">
        <v>58</v>
      </c>
    </row>
    <row r="1476" spans="1:14" x14ac:dyDescent="0.3">
      <c r="A1476" s="36" t="s">
        <v>37</v>
      </c>
      <c r="B1476" s="13">
        <v>116</v>
      </c>
      <c r="C1476" s="48" t="str">
        <f t="shared" si="57"/>
        <v>P.L. 116-224</v>
      </c>
      <c r="D1476" s="3" t="s">
        <v>2749</v>
      </c>
      <c r="E1476" s="3" t="s">
        <v>2753</v>
      </c>
      <c r="F1476" s="3" t="s">
        <v>2756</v>
      </c>
      <c r="G1476" s="49"/>
      <c r="H1476" s="46">
        <v>45930</v>
      </c>
      <c r="I1476" s="13">
        <v>2025</v>
      </c>
      <c r="J1476" s="47">
        <v>10000000</v>
      </c>
      <c r="K1476" s="16" t="s">
        <v>62</v>
      </c>
      <c r="L1476" s="3" t="s">
        <v>109</v>
      </c>
      <c r="M1476" s="3" t="s">
        <v>67</v>
      </c>
      <c r="N1476" s="3" t="s">
        <v>58</v>
      </c>
    </row>
    <row r="1477" spans="1:14" x14ac:dyDescent="0.3">
      <c r="A1477" s="36" t="s">
        <v>37</v>
      </c>
      <c r="B1477" s="13">
        <v>116</v>
      </c>
      <c r="C1477" s="48" t="str">
        <f t="shared" si="57"/>
        <v>P.L. 116-224</v>
      </c>
      <c r="D1477" s="3" t="s">
        <v>2749</v>
      </c>
      <c r="E1477" s="3" t="s">
        <v>2753</v>
      </c>
      <c r="F1477" s="3" t="s">
        <v>2757</v>
      </c>
      <c r="G1477" s="49"/>
      <c r="H1477" s="46">
        <v>45930</v>
      </c>
      <c r="I1477" s="13">
        <v>2025</v>
      </c>
      <c r="J1477" s="47">
        <v>10000000</v>
      </c>
      <c r="K1477" s="16" t="s">
        <v>62</v>
      </c>
      <c r="L1477" s="3" t="s">
        <v>109</v>
      </c>
      <c r="M1477" s="3" t="s">
        <v>67</v>
      </c>
      <c r="N1477" s="3" t="s">
        <v>58</v>
      </c>
    </row>
    <row r="1478" spans="1:14" x14ac:dyDescent="0.3">
      <c r="A1478" s="36" t="s">
        <v>37</v>
      </c>
      <c r="B1478" s="13">
        <v>116</v>
      </c>
      <c r="C1478" s="48" t="str">
        <f t="shared" ref="C1478:C1506" si="58">HYPERLINK("https://uscode.house.gov/statutes/pl/116/260.pdf", "P.L. 116-260")</f>
        <v>P.L. 116-260</v>
      </c>
      <c r="D1478" s="3" t="s">
        <v>2758</v>
      </c>
      <c r="F1478" s="3" t="s">
        <v>2759</v>
      </c>
      <c r="G1478" s="49"/>
      <c r="H1478" s="46">
        <v>45199</v>
      </c>
      <c r="I1478" s="13">
        <v>2023</v>
      </c>
      <c r="J1478" s="47">
        <v>101400000</v>
      </c>
      <c r="K1478" s="16" t="s">
        <v>62</v>
      </c>
      <c r="L1478" s="3" t="s">
        <v>156</v>
      </c>
      <c r="M1478" s="3" t="s">
        <v>67</v>
      </c>
      <c r="N1478" s="3" t="s">
        <v>158</v>
      </c>
    </row>
    <row r="1479" spans="1:14" x14ac:dyDescent="0.3">
      <c r="A1479" s="36" t="s">
        <v>37</v>
      </c>
      <c r="B1479" s="13">
        <v>116</v>
      </c>
      <c r="C1479" s="48" t="str">
        <f t="shared" si="58"/>
        <v>P.L. 116-260</v>
      </c>
      <c r="D1479" s="3" t="s">
        <v>2758</v>
      </c>
      <c r="F1479" s="3" t="s">
        <v>2760</v>
      </c>
      <c r="G1479" s="48" t="str">
        <f>HYPERLINK("https://uscode.house.gov/view.xhtml?req=granuleid:USC-prelim-title49-section6107&amp;num=0&amp;edition=prelim", "49 U.S.C. 6107")</f>
        <v>49 U.S.C. 6107</v>
      </c>
      <c r="H1479" s="46">
        <v>45199</v>
      </c>
      <c r="I1479" s="13">
        <v>2023</v>
      </c>
      <c r="J1479" s="47">
        <v>1058000</v>
      </c>
      <c r="K1479" s="16" t="s">
        <v>62</v>
      </c>
      <c r="L1479" s="3" t="s">
        <v>60</v>
      </c>
      <c r="M1479" s="3" t="s">
        <v>48</v>
      </c>
      <c r="N1479" s="3" t="s">
        <v>158</v>
      </c>
    </row>
    <row r="1480" spans="1:14" x14ac:dyDescent="0.3">
      <c r="A1480" s="36" t="s">
        <v>37</v>
      </c>
      <c r="B1480" s="13">
        <v>116</v>
      </c>
      <c r="C1480" s="48" t="str">
        <f t="shared" si="58"/>
        <v>P.L. 116-260</v>
      </c>
      <c r="D1480" s="3" t="s">
        <v>2758</v>
      </c>
      <c r="F1480" s="3" t="s">
        <v>2761</v>
      </c>
      <c r="G1480" s="48" t="str">
        <f>HYPERLINK("https://uscode.house.gov/view.xhtml?req=granuleid:USC-prelim-title49-section60125&amp;num=0&amp;edition=prelim", "49 U.S.C. 60125(b)(2)")</f>
        <v>49 U.S.C. 60125(b)(2)</v>
      </c>
      <c r="H1480" s="46">
        <v>45199</v>
      </c>
      <c r="I1480" s="13">
        <v>2023</v>
      </c>
      <c r="J1480" s="47">
        <v>10000000</v>
      </c>
      <c r="K1480" s="16" t="s">
        <v>62</v>
      </c>
      <c r="L1480" s="3" t="s">
        <v>60</v>
      </c>
      <c r="M1480" s="3" t="s">
        <v>48</v>
      </c>
      <c r="N1480" s="3" t="s">
        <v>58</v>
      </c>
    </row>
    <row r="1481" spans="1:14" x14ac:dyDescent="0.3">
      <c r="A1481" s="36" t="s">
        <v>37</v>
      </c>
      <c r="B1481" s="13">
        <v>116</v>
      </c>
      <c r="C1481" s="48" t="str">
        <f t="shared" si="58"/>
        <v>P.L. 116-260</v>
      </c>
      <c r="D1481" s="3" t="s">
        <v>2758</v>
      </c>
      <c r="E1481" s="3" t="s">
        <v>2762</v>
      </c>
      <c r="F1481" s="3" t="s">
        <v>2763</v>
      </c>
      <c r="G1481" s="49"/>
      <c r="H1481" s="46">
        <v>45199</v>
      </c>
      <c r="I1481" s="13">
        <v>2023</v>
      </c>
      <c r="J1481" s="47">
        <v>5000000</v>
      </c>
      <c r="K1481" s="16" t="s">
        <v>62</v>
      </c>
      <c r="L1481" s="3" t="s">
        <v>60</v>
      </c>
      <c r="M1481" s="3" t="s">
        <v>67</v>
      </c>
      <c r="N1481" s="3" t="s">
        <v>49</v>
      </c>
    </row>
    <row r="1482" spans="1:14" x14ac:dyDescent="0.3">
      <c r="A1482" s="36" t="s">
        <v>37</v>
      </c>
      <c r="B1482" s="13">
        <v>116</v>
      </c>
      <c r="C1482" s="48" t="str">
        <f t="shared" si="58"/>
        <v>P.L. 116-260</v>
      </c>
      <c r="D1482" s="3" t="s">
        <v>2758</v>
      </c>
      <c r="E1482" s="3" t="s">
        <v>2764</v>
      </c>
      <c r="F1482" s="3" t="s">
        <v>2765</v>
      </c>
      <c r="G1482" s="48" t="str">
        <f>HYPERLINK("https://uscode.house.gov/view.xhtml?req=granuleid:USC-prelim-title5-sectionApp&amp;num=0&amp;edition=prelim", "5 U.S.C. App")</f>
        <v>5 U.S.C. App</v>
      </c>
      <c r="H1482" s="46">
        <v>44469</v>
      </c>
      <c r="I1482" s="13">
        <v>2021</v>
      </c>
      <c r="J1482" s="47">
        <v>3500000</v>
      </c>
      <c r="K1482" s="47">
        <v>850000</v>
      </c>
      <c r="L1482" s="3" t="s">
        <v>229</v>
      </c>
      <c r="M1482" s="3" t="s">
        <v>230</v>
      </c>
      <c r="N1482" s="3" t="s">
        <v>55</v>
      </c>
    </row>
    <row r="1483" spans="1:14" x14ac:dyDescent="0.3">
      <c r="A1483" s="36" t="s">
        <v>37</v>
      </c>
      <c r="B1483" s="13">
        <v>116</v>
      </c>
      <c r="C1483" s="48" t="str">
        <f t="shared" si="58"/>
        <v>P.L. 116-260</v>
      </c>
      <c r="D1483" s="3" t="s">
        <v>2758</v>
      </c>
      <c r="E1483" s="3" t="s">
        <v>2766</v>
      </c>
      <c r="F1483" s="3" t="s">
        <v>2767</v>
      </c>
      <c r="G1483" s="49"/>
      <c r="H1483" s="46">
        <v>45199</v>
      </c>
      <c r="I1483" s="13">
        <v>2023</v>
      </c>
      <c r="J1483" s="47">
        <v>27000000</v>
      </c>
      <c r="K1483" s="16" t="s">
        <v>62</v>
      </c>
      <c r="L1483" s="3" t="s">
        <v>109</v>
      </c>
      <c r="M1483" s="3" t="s">
        <v>148</v>
      </c>
      <c r="N1483" s="3" t="s">
        <v>158</v>
      </c>
    </row>
    <row r="1484" spans="1:14" x14ac:dyDescent="0.3">
      <c r="A1484" s="36" t="s">
        <v>37</v>
      </c>
      <c r="B1484" s="13">
        <v>116</v>
      </c>
      <c r="C1484" s="48" t="str">
        <f t="shared" si="58"/>
        <v>P.L. 116-260</v>
      </c>
      <c r="D1484" s="3" t="s">
        <v>2758</v>
      </c>
      <c r="E1484" s="3" t="s">
        <v>2768</v>
      </c>
      <c r="F1484" s="3" t="s">
        <v>2769</v>
      </c>
      <c r="G1484" s="48" t="str">
        <f>HYPERLINK("https://uscode.house.gov/view.xhtml?req=granuleid:USC-prelim-title49-section44741&amp;num=0&amp;edition=prelim", "49 U.S.C. 44741")</f>
        <v>49 U.S.C. 44741</v>
      </c>
      <c r="H1484" s="46">
        <v>45199</v>
      </c>
      <c r="I1484" s="13">
        <v>2023</v>
      </c>
      <c r="J1484" s="47">
        <v>3000000</v>
      </c>
      <c r="K1484" s="16" t="s">
        <v>62</v>
      </c>
      <c r="L1484" s="3" t="s">
        <v>109</v>
      </c>
      <c r="M1484" s="3" t="s">
        <v>148</v>
      </c>
      <c r="N1484" s="3" t="s">
        <v>158</v>
      </c>
    </row>
    <row r="1485" spans="1:14" x14ac:dyDescent="0.3">
      <c r="A1485" s="36" t="s">
        <v>37</v>
      </c>
      <c r="B1485" s="13">
        <v>116</v>
      </c>
      <c r="C1485" s="48" t="str">
        <f t="shared" si="58"/>
        <v>P.L. 116-260</v>
      </c>
      <c r="D1485" s="3" t="s">
        <v>2758</v>
      </c>
      <c r="E1485" s="3" t="s">
        <v>2770</v>
      </c>
      <c r="F1485" s="3" t="s">
        <v>2771</v>
      </c>
      <c r="G1485" s="48" t="str">
        <f>HYPERLINK("https://uscode.house.gov/view.xhtml?req=granuleid:USC-prelim-title49-section44519&amp;num=0&amp;edition=prelim", "49 U.S.C. 44519")</f>
        <v>49 U.S.C. 44519</v>
      </c>
      <c r="H1485" s="46">
        <v>45199</v>
      </c>
      <c r="I1485" s="13">
        <v>2023</v>
      </c>
      <c r="J1485" s="47">
        <v>10000000</v>
      </c>
      <c r="K1485" s="16" t="s">
        <v>62</v>
      </c>
      <c r="L1485" s="3" t="s">
        <v>109</v>
      </c>
      <c r="M1485" s="3" t="s">
        <v>148</v>
      </c>
      <c r="N1485" s="3" t="s">
        <v>158</v>
      </c>
    </row>
    <row r="1486" spans="1:14" x14ac:dyDescent="0.3">
      <c r="A1486" s="36" t="s">
        <v>37</v>
      </c>
      <c r="B1486" s="13">
        <v>116</v>
      </c>
      <c r="C1486" s="48" t="str">
        <f t="shared" si="58"/>
        <v>P.L. 116-260</v>
      </c>
      <c r="D1486" s="3" t="s">
        <v>2758</v>
      </c>
      <c r="E1486" s="3" t="s">
        <v>2772</v>
      </c>
      <c r="F1486" s="3" t="s">
        <v>2773</v>
      </c>
      <c r="G1486" s="48" t="str">
        <f>HYPERLINK("https://uscode.house.gov/view.xhtml?req=granuleid:USC-prelim-title49-section44743&amp;num=0&amp;edition=prelim", "49 U.S.C. 44743")</f>
        <v>49 U.S.C. 44743</v>
      </c>
      <c r="H1486" s="46">
        <v>45199</v>
      </c>
      <c r="I1486" s="13">
        <v>2023</v>
      </c>
      <c r="J1486" s="47">
        <v>2000000</v>
      </c>
      <c r="K1486" s="16" t="s">
        <v>62</v>
      </c>
      <c r="L1486" s="3" t="s">
        <v>109</v>
      </c>
      <c r="M1486" s="3" t="s">
        <v>148</v>
      </c>
      <c r="N1486" s="3" t="s">
        <v>158</v>
      </c>
    </row>
    <row r="1487" spans="1:14" x14ac:dyDescent="0.3">
      <c r="A1487" s="36" t="s">
        <v>37</v>
      </c>
      <c r="B1487" s="13">
        <v>116</v>
      </c>
      <c r="C1487" s="48" t="str">
        <f t="shared" si="58"/>
        <v>P.L. 116-260</v>
      </c>
      <c r="D1487" s="3" t="s">
        <v>2758</v>
      </c>
      <c r="E1487" s="3" t="s">
        <v>2774</v>
      </c>
      <c r="F1487" s="3" t="s">
        <v>2775</v>
      </c>
      <c r="G1487" s="48" t="str">
        <f>HYPERLINK("https://uscode.house.gov/view.xhtml?req=granuleid:USC-prelim-title49-section40113&amp;num=0&amp;edition=prelim", "49 U.S.C. 40113(e)")</f>
        <v>49 U.S.C. 40113(e)</v>
      </c>
      <c r="H1487" s="46">
        <v>45199</v>
      </c>
      <c r="I1487" s="13">
        <v>2023</v>
      </c>
      <c r="J1487" s="47">
        <v>5000000</v>
      </c>
      <c r="K1487" s="16" t="s">
        <v>62</v>
      </c>
      <c r="L1487" s="3" t="s">
        <v>109</v>
      </c>
      <c r="M1487" s="3" t="s">
        <v>148</v>
      </c>
      <c r="N1487" s="3" t="s">
        <v>158</v>
      </c>
    </row>
    <row r="1488" spans="1:14" x14ac:dyDescent="0.3">
      <c r="A1488" s="36" t="s">
        <v>37</v>
      </c>
      <c r="B1488" s="13">
        <v>116</v>
      </c>
      <c r="C1488" s="48" t="str">
        <f t="shared" si="58"/>
        <v>P.L. 116-260</v>
      </c>
      <c r="D1488" s="3" t="s">
        <v>2758</v>
      </c>
      <c r="E1488" s="3" t="s">
        <v>2776</v>
      </c>
      <c r="F1488" s="3" t="s">
        <v>2777</v>
      </c>
      <c r="G1488" s="48" t="str">
        <f>HYPERLINK("https://uscode.house.gov/view.xhtml?req=granuleid:USC-prelim-title42-section8253&amp;num=0&amp;edition=prelim", "42 U.S.C. 8253")</f>
        <v>42 U.S.C. 8253</v>
      </c>
      <c r="H1488" s="46">
        <v>45930</v>
      </c>
      <c r="I1488" s="13">
        <v>2025</v>
      </c>
      <c r="J1488" s="47">
        <v>36000000</v>
      </c>
      <c r="K1488" s="16" t="s">
        <v>62</v>
      </c>
      <c r="L1488" s="3" t="s">
        <v>60</v>
      </c>
      <c r="M1488" s="3" t="s">
        <v>48</v>
      </c>
      <c r="N1488" s="3" t="s">
        <v>58</v>
      </c>
    </row>
    <row r="1489" spans="1:14" x14ac:dyDescent="0.3">
      <c r="A1489" s="36" t="s">
        <v>37</v>
      </c>
      <c r="B1489" s="13">
        <v>116</v>
      </c>
      <c r="C1489" s="48" t="str">
        <f t="shared" si="58"/>
        <v>P.L. 116-260</v>
      </c>
      <c r="D1489" s="3" t="s">
        <v>2758</v>
      </c>
      <c r="E1489" s="3" t="s">
        <v>2778</v>
      </c>
      <c r="F1489" s="3" t="s">
        <v>2779</v>
      </c>
      <c r="G1489" s="48" t="str">
        <f>HYPERLINK("https://uscode.house.gov/view.xhtml?req=granuleid:USC-prelim-title42-section6345&amp;num=0&amp;edition=prelim", "42 U.S.C. 6345")</f>
        <v>42 U.S.C. 6345</v>
      </c>
      <c r="H1489" s="46">
        <v>45930</v>
      </c>
      <c r="I1489" s="13">
        <v>2025</v>
      </c>
      <c r="J1489" s="47">
        <v>12000000</v>
      </c>
      <c r="K1489" s="16" t="s">
        <v>62</v>
      </c>
      <c r="L1489" s="3" t="s">
        <v>60</v>
      </c>
      <c r="M1489" s="3" t="s">
        <v>48</v>
      </c>
      <c r="N1489" s="3" t="s">
        <v>58</v>
      </c>
    </row>
    <row r="1490" spans="1:14" x14ac:dyDescent="0.3">
      <c r="A1490" s="36" t="s">
        <v>37</v>
      </c>
      <c r="B1490" s="13">
        <v>116</v>
      </c>
      <c r="C1490" s="48" t="str">
        <f t="shared" si="58"/>
        <v>P.L. 116-260</v>
      </c>
      <c r="D1490" s="3" t="s">
        <v>2758</v>
      </c>
      <c r="E1490" s="3" t="s">
        <v>2780</v>
      </c>
      <c r="F1490" s="3" t="s">
        <v>2781</v>
      </c>
      <c r="G1490" s="49"/>
      <c r="H1490" s="46">
        <v>45930</v>
      </c>
      <c r="I1490" s="13">
        <v>2025</v>
      </c>
      <c r="J1490" s="47">
        <v>38288000</v>
      </c>
      <c r="K1490" s="16" t="s">
        <v>62</v>
      </c>
      <c r="L1490" s="3" t="s">
        <v>60</v>
      </c>
      <c r="M1490" s="3" t="s">
        <v>48</v>
      </c>
      <c r="N1490" s="3" t="s">
        <v>58</v>
      </c>
    </row>
    <row r="1491" spans="1:14" x14ac:dyDescent="0.3">
      <c r="A1491" s="36" t="s">
        <v>37</v>
      </c>
      <c r="B1491" s="13">
        <v>116</v>
      </c>
      <c r="C1491" s="48" t="str">
        <f t="shared" si="58"/>
        <v>P.L. 116-260</v>
      </c>
      <c r="D1491" s="3" t="s">
        <v>2758</v>
      </c>
      <c r="E1491" s="3" t="s">
        <v>2782</v>
      </c>
      <c r="F1491" s="3" t="s">
        <v>2783</v>
      </c>
      <c r="G1491" s="48" t="str">
        <f>HYPERLINK("https://uscode.house.gov/view.xhtml?req=granuleid:USC-prelim-title42-section16272&amp;num=0&amp;edition=prelim", "42 U.S.C. 16272")</f>
        <v>42 U.S.C. 16272</v>
      </c>
      <c r="H1491" s="46">
        <v>45930</v>
      </c>
      <c r="I1491" s="13">
        <v>2025</v>
      </c>
      <c r="J1491" s="47">
        <v>55000000</v>
      </c>
      <c r="K1491" s="16" t="s">
        <v>62</v>
      </c>
      <c r="L1491" s="3" t="s">
        <v>60</v>
      </c>
      <c r="M1491" s="3" t="s">
        <v>48</v>
      </c>
      <c r="N1491" s="3" t="s">
        <v>58</v>
      </c>
    </row>
    <row r="1492" spans="1:14" x14ac:dyDescent="0.3">
      <c r="A1492" s="36" t="s">
        <v>37</v>
      </c>
      <c r="B1492" s="13">
        <v>116</v>
      </c>
      <c r="C1492" s="48" t="str">
        <f t="shared" si="58"/>
        <v>P.L. 116-260</v>
      </c>
      <c r="D1492" s="3" t="s">
        <v>2758</v>
      </c>
      <c r="E1492" s="3" t="s">
        <v>2782</v>
      </c>
      <c r="F1492" s="3" t="s">
        <v>2784</v>
      </c>
      <c r="G1492" s="48" t="str">
        <f>HYPERLINK("https://uscode.house.gov/view.xhtml?req=granuleid:USC-prelim-title42-section16272&amp;num=0&amp;edition=prelim", "42 U.S.C. 16272")</f>
        <v>42 U.S.C. 16272</v>
      </c>
      <c r="H1492" s="46">
        <v>45930</v>
      </c>
      <c r="I1492" s="13">
        <v>2025</v>
      </c>
      <c r="J1492" s="47">
        <v>55000000</v>
      </c>
      <c r="K1492" s="16" t="s">
        <v>62</v>
      </c>
      <c r="L1492" s="3" t="s">
        <v>60</v>
      </c>
      <c r="M1492" s="3" t="s">
        <v>48</v>
      </c>
      <c r="N1492" s="3" t="s">
        <v>58</v>
      </c>
    </row>
    <row r="1493" spans="1:14" x14ac:dyDescent="0.3">
      <c r="A1493" s="36" t="s">
        <v>37</v>
      </c>
      <c r="B1493" s="13">
        <v>116</v>
      </c>
      <c r="C1493" s="48" t="str">
        <f t="shared" si="58"/>
        <v>P.L. 116-260</v>
      </c>
      <c r="D1493" s="3" t="s">
        <v>2758</v>
      </c>
      <c r="E1493" s="3" t="s">
        <v>2782</v>
      </c>
      <c r="F1493" s="3" t="s">
        <v>2785</v>
      </c>
      <c r="G1493" s="48" t="str">
        <f>HYPERLINK("https://uscode.house.gov/view.xhtml?req=granuleid:USC-prelim-title42-section16272&amp;num=0&amp;edition=prelim", "42 U.S.C. 16272")</f>
        <v>42 U.S.C. 16272</v>
      </c>
      <c r="H1493" s="46">
        <v>45930</v>
      </c>
      <c r="I1493" s="13">
        <v>2025</v>
      </c>
      <c r="J1493" s="47">
        <v>40000000</v>
      </c>
      <c r="K1493" s="16" t="s">
        <v>62</v>
      </c>
      <c r="L1493" s="3" t="s">
        <v>60</v>
      </c>
      <c r="M1493" s="3" t="s">
        <v>48</v>
      </c>
      <c r="N1493" s="3" t="s">
        <v>58</v>
      </c>
    </row>
    <row r="1494" spans="1:14" x14ac:dyDescent="0.3">
      <c r="A1494" s="36" t="s">
        <v>37</v>
      </c>
      <c r="B1494" s="13">
        <v>116</v>
      </c>
      <c r="C1494" s="48" t="str">
        <f t="shared" si="58"/>
        <v>P.L. 116-260</v>
      </c>
      <c r="D1494" s="3" t="s">
        <v>2758</v>
      </c>
      <c r="E1494" s="3" t="s">
        <v>2782</v>
      </c>
      <c r="F1494" s="3" t="s">
        <v>2786</v>
      </c>
      <c r="G1494" s="48" t="str">
        <f>HYPERLINK("https://uscode.house.gov/view.xhtml?req=granuleid:USC-prelim-title42-section16273&amp;num=0&amp;edition=prelim", "42 U.S.C. 16273")</f>
        <v>42 U.S.C. 16273</v>
      </c>
      <c r="H1494" s="46">
        <v>45930</v>
      </c>
      <c r="I1494" s="13">
        <v>2025</v>
      </c>
      <c r="J1494" s="47">
        <v>60000000</v>
      </c>
      <c r="K1494" s="16" t="s">
        <v>62</v>
      </c>
      <c r="L1494" s="3" t="s">
        <v>60</v>
      </c>
      <c r="M1494" s="3" t="s">
        <v>48</v>
      </c>
      <c r="N1494" s="3" t="s">
        <v>58</v>
      </c>
    </row>
    <row r="1495" spans="1:14" x14ac:dyDescent="0.3">
      <c r="A1495" s="36" t="s">
        <v>37</v>
      </c>
      <c r="B1495" s="13">
        <v>116</v>
      </c>
      <c r="C1495" s="48" t="str">
        <f t="shared" si="58"/>
        <v>P.L. 116-260</v>
      </c>
      <c r="D1495" s="3" t="s">
        <v>2758</v>
      </c>
      <c r="E1495" s="3" t="s">
        <v>2782</v>
      </c>
      <c r="F1495" s="3" t="s">
        <v>2787</v>
      </c>
      <c r="G1495" s="48" t="str">
        <f>HYPERLINK("https://uscode.house.gov/view.xhtml?req=granuleid:USC-prelim-title42-section16273&amp;num=0&amp;edition=prelim", "42 U.S.C. 16273")</f>
        <v>42 U.S.C. 16273</v>
      </c>
      <c r="H1495" s="46">
        <v>45930</v>
      </c>
      <c r="I1495" s="13">
        <v>2025</v>
      </c>
      <c r="J1495" s="47">
        <v>125000000</v>
      </c>
      <c r="K1495" s="16" t="s">
        <v>62</v>
      </c>
      <c r="L1495" s="3" t="s">
        <v>60</v>
      </c>
      <c r="M1495" s="3" t="s">
        <v>48</v>
      </c>
      <c r="N1495" s="3" t="s">
        <v>58</v>
      </c>
    </row>
    <row r="1496" spans="1:14" x14ac:dyDescent="0.3">
      <c r="A1496" s="36" t="s">
        <v>37</v>
      </c>
      <c r="B1496" s="13">
        <v>116</v>
      </c>
      <c r="C1496" s="48" t="str">
        <f t="shared" si="58"/>
        <v>P.L. 116-260</v>
      </c>
      <c r="D1496" s="3" t="s">
        <v>2758</v>
      </c>
      <c r="F1496" s="3" t="s">
        <v>2788</v>
      </c>
      <c r="G1496" s="49"/>
      <c r="H1496" s="46">
        <v>45930</v>
      </c>
      <c r="I1496" s="13">
        <v>2025</v>
      </c>
      <c r="J1496" s="47">
        <v>1000000</v>
      </c>
      <c r="K1496" s="16" t="s">
        <v>62</v>
      </c>
      <c r="L1496" s="3" t="s">
        <v>80</v>
      </c>
      <c r="M1496" s="3" t="s">
        <v>81</v>
      </c>
      <c r="N1496" s="3" t="s">
        <v>82</v>
      </c>
    </row>
    <row r="1497" spans="1:14" x14ac:dyDescent="0.3">
      <c r="A1497" s="36" t="s">
        <v>37</v>
      </c>
      <c r="B1497" s="13">
        <v>116</v>
      </c>
      <c r="C1497" s="48" t="str">
        <f t="shared" si="58"/>
        <v>P.L. 116-260</v>
      </c>
      <c r="D1497" s="3" t="s">
        <v>2758</v>
      </c>
      <c r="F1497" s="3" t="s">
        <v>2789</v>
      </c>
      <c r="G1497" s="49"/>
      <c r="H1497" s="46">
        <v>44469</v>
      </c>
      <c r="I1497" s="13">
        <v>2021</v>
      </c>
      <c r="J1497" s="47">
        <v>2000000</v>
      </c>
      <c r="K1497" s="16" t="s">
        <v>62</v>
      </c>
      <c r="L1497" s="3" t="s">
        <v>80</v>
      </c>
      <c r="M1497" s="3" t="s">
        <v>81</v>
      </c>
      <c r="N1497" s="3" t="s">
        <v>82</v>
      </c>
    </row>
    <row r="1498" spans="1:14" x14ac:dyDescent="0.3">
      <c r="A1498" s="36" t="s">
        <v>37</v>
      </c>
      <c r="B1498" s="13">
        <v>116</v>
      </c>
      <c r="C1498" s="48" t="str">
        <f t="shared" si="58"/>
        <v>P.L. 116-260</v>
      </c>
      <c r="D1498" s="3" t="s">
        <v>2758</v>
      </c>
      <c r="F1498" s="3" t="s">
        <v>2790</v>
      </c>
      <c r="G1498" s="49"/>
      <c r="H1498" s="46">
        <v>44469</v>
      </c>
      <c r="I1498" s="13">
        <v>2021</v>
      </c>
      <c r="J1498" s="47">
        <v>30000000</v>
      </c>
      <c r="K1498" s="16" t="s">
        <v>62</v>
      </c>
      <c r="L1498" s="3" t="s">
        <v>80</v>
      </c>
      <c r="M1498" s="3" t="s">
        <v>81</v>
      </c>
      <c r="N1498" s="3" t="s">
        <v>82</v>
      </c>
    </row>
    <row r="1499" spans="1:14" x14ac:dyDescent="0.3">
      <c r="A1499" s="36" t="s">
        <v>37</v>
      </c>
      <c r="B1499" s="13">
        <v>116</v>
      </c>
      <c r="C1499" s="48" t="str">
        <f t="shared" si="58"/>
        <v>P.L. 116-260</v>
      </c>
      <c r="D1499" s="3" t="s">
        <v>2758</v>
      </c>
      <c r="F1499" s="3" t="s">
        <v>2791</v>
      </c>
      <c r="G1499" s="49"/>
      <c r="H1499" s="46">
        <v>45930</v>
      </c>
      <c r="I1499" s="13">
        <v>2025</v>
      </c>
      <c r="J1499" s="47">
        <v>1000000</v>
      </c>
      <c r="K1499" s="16" t="s">
        <v>62</v>
      </c>
      <c r="L1499" s="3" t="s">
        <v>80</v>
      </c>
      <c r="M1499" s="3" t="s">
        <v>81</v>
      </c>
      <c r="N1499" s="3" t="s">
        <v>82</v>
      </c>
    </row>
    <row r="1500" spans="1:14" x14ac:dyDescent="0.3">
      <c r="A1500" s="36" t="s">
        <v>37</v>
      </c>
      <c r="B1500" s="13">
        <v>116</v>
      </c>
      <c r="C1500" s="48" t="str">
        <f t="shared" si="58"/>
        <v>P.L. 116-260</v>
      </c>
      <c r="D1500" s="3" t="s">
        <v>2758</v>
      </c>
      <c r="F1500" s="3" t="s">
        <v>2792</v>
      </c>
      <c r="G1500" s="49"/>
      <c r="H1500" s="46">
        <v>45930</v>
      </c>
      <c r="I1500" s="13">
        <v>2025</v>
      </c>
      <c r="J1500" s="47">
        <v>675000</v>
      </c>
      <c r="K1500" s="16" t="s">
        <v>62</v>
      </c>
      <c r="L1500" s="3" t="s">
        <v>80</v>
      </c>
      <c r="M1500" s="3" t="s">
        <v>81</v>
      </c>
      <c r="N1500" s="3" t="s">
        <v>82</v>
      </c>
    </row>
    <row r="1501" spans="1:14" x14ac:dyDescent="0.3">
      <c r="A1501" s="36" t="s">
        <v>37</v>
      </c>
      <c r="B1501" s="13">
        <v>116</v>
      </c>
      <c r="C1501" s="48" t="str">
        <f t="shared" si="58"/>
        <v>P.L. 116-260</v>
      </c>
      <c r="D1501" s="3" t="s">
        <v>2758</v>
      </c>
      <c r="F1501" s="3" t="s">
        <v>2793</v>
      </c>
      <c r="G1501" s="49"/>
      <c r="H1501" s="46">
        <v>45930</v>
      </c>
      <c r="I1501" s="13">
        <v>2025</v>
      </c>
      <c r="J1501" s="47">
        <v>575000</v>
      </c>
      <c r="K1501" s="16" t="s">
        <v>62</v>
      </c>
      <c r="L1501" s="3" t="s">
        <v>80</v>
      </c>
      <c r="M1501" s="3" t="s">
        <v>81</v>
      </c>
      <c r="N1501" s="3" t="s">
        <v>82</v>
      </c>
    </row>
    <row r="1502" spans="1:14" x14ac:dyDescent="0.3">
      <c r="A1502" s="36" t="s">
        <v>37</v>
      </c>
      <c r="B1502" s="13">
        <v>116</v>
      </c>
      <c r="C1502" s="48" t="str">
        <f t="shared" si="58"/>
        <v>P.L. 116-260</v>
      </c>
      <c r="D1502" s="3" t="s">
        <v>2758</v>
      </c>
      <c r="F1502" s="3" t="s">
        <v>2794</v>
      </c>
      <c r="G1502" s="49"/>
      <c r="H1502" s="46">
        <v>45930</v>
      </c>
      <c r="I1502" s="13">
        <v>2025</v>
      </c>
      <c r="J1502" s="47">
        <v>8000000</v>
      </c>
      <c r="K1502" s="16" t="s">
        <v>62</v>
      </c>
      <c r="L1502" s="3" t="s">
        <v>80</v>
      </c>
      <c r="M1502" s="3" t="s">
        <v>81</v>
      </c>
      <c r="N1502" s="3" t="s">
        <v>82</v>
      </c>
    </row>
    <row r="1503" spans="1:14" x14ac:dyDescent="0.3">
      <c r="A1503" s="36" t="s">
        <v>37</v>
      </c>
      <c r="B1503" s="13">
        <v>116</v>
      </c>
      <c r="C1503" s="48" t="str">
        <f t="shared" si="58"/>
        <v>P.L. 116-260</v>
      </c>
      <c r="D1503" s="3" t="s">
        <v>2758</v>
      </c>
      <c r="F1503" s="3" t="s">
        <v>2795</v>
      </c>
      <c r="G1503" s="49"/>
      <c r="H1503" s="46">
        <v>45930</v>
      </c>
      <c r="I1503" s="13">
        <v>2025</v>
      </c>
      <c r="J1503" s="47">
        <v>6000000</v>
      </c>
      <c r="K1503" s="16" t="s">
        <v>62</v>
      </c>
      <c r="L1503" s="3" t="s">
        <v>80</v>
      </c>
      <c r="M1503" s="3" t="s">
        <v>81</v>
      </c>
      <c r="N1503" s="3" t="s">
        <v>82</v>
      </c>
    </row>
    <row r="1504" spans="1:14" x14ac:dyDescent="0.3">
      <c r="A1504" s="36" t="s">
        <v>37</v>
      </c>
      <c r="B1504" s="13">
        <v>116</v>
      </c>
      <c r="C1504" s="48" t="str">
        <f t="shared" si="58"/>
        <v>P.L. 116-260</v>
      </c>
      <c r="D1504" s="3" t="s">
        <v>2758</v>
      </c>
      <c r="F1504" s="3" t="s">
        <v>2796</v>
      </c>
      <c r="G1504" s="49"/>
      <c r="H1504" s="46">
        <v>45930</v>
      </c>
      <c r="I1504" s="13">
        <v>2025</v>
      </c>
      <c r="J1504" s="47">
        <v>3000000</v>
      </c>
      <c r="K1504" s="16" t="s">
        <v>62</v>
      </c>
      <c r="L1504" s="3" t="s">
        <v>80</v>
      </c>
      <c r="M1504" s="3" t="s">
        <v>81</v>
      </c>
      <c r="N1504" s="3" t="s">
        <v>82</v>
      </c>
    </row>
    <row r="1505" spans="1:14" x14ac:dyDescent="0.3">
      <c r="A1505" s="36" t="s">
        <v>37</v>
      </c>
      <c r="B1505" s="13">
        <v>116</v>
      </c>
      <c r="C1505" s="48" t="str">
        <f t="shared" si="58"/>
        <v>P.L. 116-260</v>
      </c>
      <c r="D1505" s="3" t="s">
        <v>2758</v>
      </c>
      <c r="F1505" s="3" t="s">
        <v>2797</v>
      </c>
      <c r="G1505" s="49"/>
      <c r="H1505" s="46">
        <v>45930</v>
      </c>
      <c r="I1505" s="13">
        <v>2025</v>
      </c>
      <c r="J1505" s="47">
        <v>3440000</v>
      </c>
      <c r="K1505" s="16" t="s">
        <v>62</v>
      </c>
      <c r="L1505" s="3" t="s">
        <v>80</v>
      </c>
      <c r="M1505" s="3" t="s">
        <v>81</v>
      </c>
      <c r="N1505" s="3" t="s">
        <v>82</v>
      </c>
    </row>
    <row r="1506" spans="1:14" x14ac:dyDescent="0.3">
      <c r="A1506" s="36" t="s">
        <v>37</v>
      </c>
      <c r="B1506" s="13">
        <v>116</v>
      </c>
      <c r="C1506" s="48" t="str">
        <f t="shared" si="58"/>
        <v>P.L. 116-260</v>
      </c>
      <c r="D1506" s="3" t="s">
        <v>2758</v>
      </c>
      <c r="F1506" s="3" t="s">
        <v>2798</v>
      </c>
      <c r="G1506" s="49"/>
      <c r="H1506" s="46">
        <v>45930</v>
      </c>
      <c r="I1506" s="13">
        <v>2025</v>
      </c>
      <c r="J1506" s="47">
        <v>4060000</v>
      </c>
      <c r="K1506" s="16" t="s">
        <v>62</v>
      </c>
      <c r="L1506" s="3" t="s">
        <v>80</v>
      </c>
      <c r="M1506" s="3" t="s">
        <v>81</v>
      </c>
      <c r="N1506" s="3" t="s">
        <v>82</v>
      </c>
    </row>
    <row r="1507" spans="1:14" x14ac:dyDescent="0.3">
      <c r="A1507" s="36" t="s">
        <v>37</v>
      </c>
      <c r="B1507" s="13">
        <v>116</v>
      </c>
      <c r="C1507" s="48" t="str">
        <f>HYPERLINK("https://uscode.house.gov/statutes/pl/116/261.pdf", "P.L. 116-261")</f>
        <v>P.L. 116-261</v>
      </c>
      <c r="D1507" s="3" t="s">
        <v>2951</v>
      </c>
      <c r="E1507" s="3" t="s">
        <v>560</v>
      </c>
      <c r="F1507" s="3" t="s">
        <v>2952</v>
      </c>
      <c r="G1507" s="48" t="str">
        <f>HYPERLINK("https://uscode.house.gov/view.xhtml?req=granuleid:USC-prelim-title42-section2992d&amp;num=0&amp;edition=prelim", "42 U.S.C. 2992d(a)")</f>
        <v>42 U.S.C. 2992d(a)</v>
      </c>
      <c r="H1507" s="46">
        <v>45930</v>
      </c>
      <c r="I1507" s="13">
        <v>2025</v>
      </c>
      <c r="J1507" s="47">
        <v>34000000</v>
      </c>
      <c r="K1507" s="16" t="s">
        <v>62</v>
      </c>
      <c r="L1507" s="3" t="s">
        <v>130</v>
      </c>
      <c r="M1507" s="3" t="s">
        <v>236</v>
      </c>
      <c r="N1507" s="3" t="s">
        <v>72</v>
      </c>
    </row>
    <row r="1508" spans="1:14" x14ac:dyDescent="0.3">
      <c r="A1508" s="36" t="s">
        <v>37</v>
      </c>
      <c r="B1508" s="13">
        <v>116</v>
      </c>
      <c r="C1508" s="48" t="str">
        <f t="shared" ref="C1508:C1539" si="59">HYPERLINK("https://uscode.house.gov/statutes/pl/116/260.pdf", "P.L. 116-260")</f>
        <v>P.L. 116-260</v>
      </c>
      <c r="D1508" s="3" t="s">
        <v>2758</v>
      </c>
      <c r="F1508" s="3" t="s">
        <v>2801</v>
      </c>
      <c r="G1508" s="49"/>
      <c r="H1508" s="46">
        <v>46295</v>
      </c>
      <c r="I1508" s="13">
        <v>2026</v>
      </c>
      <c r="J1508" s="47">
        <v>14000000</v>
      </c>
      <c r="K1508" s="16" t="s">
        <v>62</v>
      </c>
      <c r="L1508" s="3" t="s">
        <v>47</v>
      </c>
      <c r="M1508" s="3" t="s">
        <v>48</v>
      </c>
      <c r="N1508" s="3" t="s">
        <v>58</v>
      </c>
    </row>
    <row r="1509" spans="1:14" x14ac:dyDescent="0.3">
      <c r="A1509" s="36" t="s">
        <v>37</v>
      </c>
      <c r="B1509" s="13">
        <v>116</v>
      </c>
      <c r="C1509" s="48" t="str">
        <f t="shared" si="59"/>
        <v>P.L. 116-260</v>
      </c>
      <c r="D1509" s="3" t="s">
        <v>2758</v>
      </c>
      <c r="F1509" s="3" t="s">
        <v>2802</v>
      </c>
      <c r="G1509" s="49"/>
      <c r="H1509" s="46">
        <v>46295</v>
      </c>
      <c r="I1509" s="13">
        <v>2026</v>
      </c>
      <c r="J1509" s="47">
        <v>15000000</v>
      </c>
      <c r="K1509" s="16" t="s">
        <v>62</v>
      </c>
      <c r="L1509" s="3" t="s">
        <v>47</v>
      </c>
      <c r="M1509" s="3" t="s">
        <v>48</v>
      </c>
      <c r="N1509" s="3" t="s">
        <v>58</v>
      </c>
    </row>
    <row r="1510" spans="1:14" x14ac:dyDescent="0.3">
      <c r="A1510" s="36" t="s">
        <v>37</v>
      </c>
      <c r="B1510" s="13">
        <v>116</v>
      </c>
      <c r="C1510" s="48" t="str">
        <f t="shared" si="59"/>
        <v>P.L. 116-260</v>
      </c>
      <c r="D1510" s="3" t="s">
        <v>2758</v>
      </c>
      <c r="E1510" s="3" t="s">
        <v>2803</v>
      </c>
      <c r="F1510" s="3" t="s">
        <v>2804</v>
      </c>
      <c r="G1510" s="48" t="str">
        <f>HYPERLINK("https://uscode.house.gov/view.xhtml?req=granuleid:USC-prelim-title42-section280m&amp;num=0&amp;edition=prelim", "42 U.S.C. 280m")</f>
        <v>42 U.S.C. 280m</v>
      </c>
      <c r="H1510" s="46">
        <v>46295</v>
      </c>
      <c r="I1510" s="13">
        <v>2026</v>
      </c>
      <c r="J1510" s="47">
        <v>9000000</v>
      </c>
      <c r="K1510" s="16" t="s">
        <v>62</v>
      </c>
      <c r="L1510" s="3" t="s">
        <v>60</v>
      </c>
      <c r="M1510" s="3" t="s">
        <v>71</v>
      </c>
      <c r="N1510" s="3" t="s">
        <v>72</v>
      </c>
    </row>
    <row r="1511" spans="1:14" x14ac:dyDescent="0.3">
      <c r="A1511" s="36" t="s">
        <v>37</v>
      </c>
      <c r="B1511" s="13">
        <v>116</v>
      </c>
      <c r="C1511" s="48" t="str">
        <f t="shared" si="59"/>
        <v>P.L. 116-260</v>
      </c>
      <c r="D1511" s="3" t="s">
        <v>2758</v>
      </c>
      <c r="E1511" s="3" t="s">
        <v>2805</v>
      </c>
      <c r="F1511" s="3" t="s">
        <v>2806</v>
      </c>
      <c r="G1511" s="48" t="str">
        <f>HYPERLINK("https://uscode.house.gov/view.xhtml?req=granuleid:USC-prelim-title49-section60125&amp;num=0&amp;edition=prelim", "49 U.S.C. 60125(a)")</f>
        <v>49 U.S.C. 60125(a)</v>
      </c>
      <c r="H1511" s="46">
        <v>45199</v>
      </c>
      <c r="I1511" s="13">
        <v>2023</v>
      </c>
      <c r="J1511" s="47">
        <v>8000000</v>
      </c>
      <c r="K1511" s="16" t="s">
        <v>62</v>
      </c>
      <c r="L1511" s="3" t="s">
        <v>109</v>
      </c>
      <c r="M1511" s="3" t="s">
        <v>148</v>
      </c>
      <c r="N1511" s="3" t="s">
        <v>158</v>
      </c>
    </row>
    <row r="1512" spans="1:14" x14ac:dyDescent="0.3">
      <c r="A1512" s="36" t="s">
        <v>37</v>
      </c>
      <c r="B1512" s="13">
        <v>116</v>
      </c>
      <c r="C1512" s="48" t="str">
        <f t="shared" si="59"/>
        <v>P.L. 116-260</v>
      </c>
      <c r="D1512" s="3" t="s">
        <v>2758</v>
      </c>
      <c r="E1512" s="3" t="s">
        <v>2807</v>
      </c>
      <c r="F1512" s="3" t="s">
        <v>2808</v>
      </c>
      <c r="G1512" s="49"/>
      <c r="H1512" s="46">
        <v>45199</v>
      </c>
      <c r="I1512" s="13">
        <v>2023</v>
      </c>
      <c r="J1512" s="47">
        <v>27000000</v>
      </c>
      <c r="K1512" s="16" t="s">
        <v>62</v>
      </c>
      <c r="L1512" s="3" t="s">
        <v>109</v>
      </c>
      <c r="M1512" s="3" t="s">
        <v>148</v>
      </c>
      <c r="N1512" s="3" t="s">
        <v>158</v>
      </c>
    </row>
    <row r="1513" spans="1:14" x14ac:dyDescent="0.3">
      <c r="A1513" s="36" t="s">
        <v>37</v>
      </c>
      <c r="B1513" s="13">
        <v>116</v>
      </c>
      <c r="C1513" s="48" t="str">
        <f t="shared" si="59"/>
        <v>P.L. 116-260</v>
      </c>
      <c r="D1513" s="3" t="s">
        <v>2758</v>
      </c>
      <c r="E1513" s="3" t="s">
        <v>2805</v>
      </c>
      <c r="F1513" s="3" t="s">
        <v>2809</v>
      </c>
      <c r="G1513" s="48" t="str">
        <f>HYPERLINK("https://uscode.house.gov/view.xhtml?req=granuleid:USC-prelim-title49-section60125&amp;num=0&amp;edition=prelim", "49 U.S.C. 60125")</f>
        <v>49 U.S.C. 60125</v>
      </c>
      <c r="H1513" s="46">
        <v>45199</v>
      </c>
      <c r="I1513" s="13">
        <v>2023</v>
      </c>
      <c r="J1513" s="47">
        <v>108342000</v>
      </c>
      <c r="K1513" s="16" t="s">
        <v>62</v>
      </c>
      <c r="L1513" s="3" t="s">
        <v>109</v>
      </c>
      <c r="M1513" s="3" t="s">
        <v>148</v>
      </c>
      <c r="N1513" s="3" t="s">
        <v>158</v>
      </c>
    </row>
    <row r="1514" spans="1:14" x14ac:dyDescent="0.3">
      <c r="A1514" s="36" t="s">
        <v>37</v>
      </c>
      <c r="B1514" s="13">
        <v>116</v>
      </c>
      <c r="C1514" s="48" t="str">
        <f t="shared" si="59"/>
        <v>P.L. 116-260</v>
      </c>
      <c r="D1514" s="3" t="s">
        <v>2758</v>
      </c>
      <c r="E1514" s="3" t="s">
        <v>2805</v>
      </c>
      <c r="F1514" s="3" t="s">
        <v>2810</v>
      </c>
      <c r="G1514" s="48" t="str">
        <f>HYPERLINK("https://uscode.house.gov/view.xhtml?req=granuleid:USC-prelim-title49-section60125&amp;num=0&amp;edition=prelim", "49 U.S.C. 60125")</f>
        <v>49 U.S.C. 60125</v>
      </c>
      <c r="H1514" s="46">
        <v>45199</v>
      </c>
      <c r="I1514" s="13">
        <v>2023</v>
      </c>
      <c r="J1514" s="47">
        <v>82000000</v>
      </c>
      <c r="K1514" s="16" t="s">
        <v>62</v>
      </c>
      <c r="L1514" s="3" t="s">
        <v>109</v>
      </c>
      <c r="M1514" s="3" t="s">
        <v>148</v>
      </c>
      <c r="N1514" s="3" t="s">
        <v>158</v>
      </c>
    </row>
    <row r="1515" spans="1:14" x14ac:dyDescent="0.3">
      <c r="A1515" s="36" t="s">
        <v>37</v>
      </c>
      <c r="B1515" s="13">
        <v>116</v>
      </c>
      <c r="C1515" s="48" t="str">
        <f t="shared" si="59"/>
        <v>P.L. 116-260</v>
      </c>
      <c r="D1515" s="3" t="s">
        <v>2758</v>
      </c>
      <c r="E1515" s="3" t="s">
        <v>2811</v>
      </c>
      <c r="F1515" s="3" t="s">
        <v>2812</v>
      </c>
      <c r="G1515" s="48" t="str">
        <f>HYPERLINK("https://uscode.house.gov/view.xhtml?req=granuleid:USC-prelim-title42-section16137&amp;num=0&amp;edition=prelim", "42 U.S.C. 16137(a)")</f>
        <v>42 U.S.C. 16137(a)</v>
      </c>
      <c r="H1515" s="46">
        <v>45565</v>
      </c>
      <c r="I1515" s="13">
        <v>2024</v>
      </c>
      <c r="J1515" s="47">
        <v>100000000</v>
      </c>
      <c r="K1515" s="16" t="s">
        <v>62</v>
      </c>
      <c r="L1515" s="3" t="s">
        <v>60</v>
      </c>
      <c r="M1515" s="3" t="s">
        <v>67</v>
      </c>
      <c r="N1515" s="3" t="s">
        <v>49</v>
      </c>
    </row>
    <row r="1516" spans="1:14" x14ac:dyDescent="0.3">
      <c r="A1516" s="36" t="s">
        <v>37</v>
      </c>
      <c r="B1516" s="13">
        <v>116</v>
      </c>
      <c r="C1516" s="48" t="str">
        <f t="shared" si="59"/>
        <v>P.L. 116-260</v>
      </c>
      <c r="D1516" s="3" t="s">
        <v>2758</v>
      </c>
      <c r="E1516" s="3" t="s">
        <v>2813</v>
      </c>
      <c r="F1516" s="3" t="s">
        <v>2814</v>
      </c>
      <c r="G1516" s="49"/>
      <c r="H1516" s="46">
        <v>45930</v>
      </c>
      <c r="I1516" s="13">
        <v>2025</v>
      </c>
      <c r="J1516" s="47">
        <v>15000000</v>
      </c>
      <c r="K1516" s="16" t="s">
        <v>62</v>
      </c>
      <c r="L1516" s="3" t="s">
        <v>109</v>
      </c>
      <c r="M1516" s="3" t="s">
        <v>148</v>
      </c>
      <c r="N1516" s="3" t="s">
        <v>158</v>
      </c>
    </row>
    <row r="1517" spans="1:14" x14ac:dyDescent="0.3">
      <c r="A1517" s="36" t="s">
        <v>37</v>
      </c>
      <c r="B1517" s="13">
        <v>116</v>
      </c>
      <c r="C1517" s="48" t="str">
        <f t="shared" si="59"/>
        <v>P.L. 116-260</v>
      </c>
      <c r="D1517" s="3" t="s">
        <v>2758</v>
      </c>
      <c r="E1517" s="3" t="s">
        <v>2815</v>
      </c>
      <c r="F1517" s="3" t="s">
        <v>2816</v>
      </c>
      <c r="G1517" s="48" t="str">
        <f>HYPERLINK("https://uscode.house.gov/view.xhtml?req=granuleid:USC-prelim-title42-section6872&amp;num=0&amp;edition=prelim", "42 U.S.C. 6872")</f>
        <v>42 U.S.C. 6872</v>
      </c>
      <c r="H1517" s="46">
        <v>45930</v>
      </c>
      <c r="I1517" s="13">
        <v>2025</v>
      </c>
      <c r="J1517" s="47">
        <v>350000000</v>
      </c>
      <c r="K1517" s="16" t="s">
        <v>62</v>
      </c>
      <c r="L1517" s="3" t="s">
        <v>60</v>
      </c>
      <c r="M1517" s="3" t="s">
        <v>48</v>
      </c>
      <c r="N1517" s="3" t="s">
        <v>58</v>
      </c>
    </row>
    <row r="1518" spans="1:14" x14ac:dyDescent="0.3">
      <c r="A1518" s="36" t="s">
        <v>37</v>
      </c>
      <c r="B1518" s="13">
        <v>116</v>
      </c>
      <c r="C1518" s="48" t="str">
        <f t="shared" si="59"/>
        <v>P.L. 116-260</v>
      </c>
      <c r="D1518" s="3" t="s">
        <v>2758</v>
      </c>
      <c r="E1518" s="3" t="s">
        <v>2782</v>
      </c>
      <c r="F1518" s="3" t="s">
        <v>2817</v>
      </c>
      <c r="G1518" s="49"/>
      <c r="H1518" s="46">
        <v>45930</v>
      </c>
      <c r="I1518" s="13">
        <v>2025</v>
      </c>
      <c r="J1518" s="47">
        <v>20000000</v>
      </c>
      <c r="K1518" s="16" t="s">
        <v>62</v>
      </c>
      <c r="L1518" s="3" t="s">
        <v>60</v>
      </c>
      <c r="M1518" s="3" t="s">
        <v>48</v>
      </c>
      <c r="N1518" s="3" t="s">
        <v>58</v>
      </c>
    </row>
    <row r="1519" spans="1:14" x14ac:dyDescent="0.3">
      <c r="A1519" s="36" t="s">
        <v>37</v>
      </c>
      <c r="B1519" s="13">
        <v>116</v>
      </c>
      <c r="C1519" s="48" t="str">
        <f t="shared" si="59"/>
        <v>P.L. 116-260</v>
      </c>
      <c r="D1519" s="3" t="s">
        <v>2758</v>
      </c>
      <c r="E1519" s="3" t="s">
        <v>2818</v>
      </c>
      <c r="F1519" s="3" t="s">
        <v>2819</v>
      </c>
      <c r="G1519" s="49"/>
      <c r="H1519" s="46">
        <v>45930</v>
      </c>
      <c r="I1519" s="13">
        <v>2025</v>
      </c>
      <c r="J1519" s="47">
        <v>45000000</v>
      </c>
      <c r="K1519" s="16" t="s">
        <v>62</v>
      </c>
      <c r="L1519" s="3" t="s">
        <v>60</v>
      </c>
      <c r="M1519" s="3" t="s">
        <v>48</v>
      </c>
      <c r="N1519" s="3" t="s">
        <v>58</v>
      </c>
    </row>
    <row r="1520" spans="1:14" x14ac:dyDescent="0.3">
      <c r="A1520" s="36" t="s">
        <v>37</v>
      </c>
      <c r="B1520" s="13">
        <v>116</v>
      </c>
      <c r="C1520" s="48" t="str">
        <f t="shared" si="59"/>
        <v>P.L. 116-260</v>
      </c>
      <c r="D1520" s="3" t="s">
        <v>2758</v>
      </c>
      <c r="E1520" s="3" t="s">
        <v>2820</v>
      </c>
      <c r="F1520" s="3" t="s">
        <v>2821</v>
      </c>
      <c r="G1520" s="48" t="str">
        <f>HYPERLINK("https://uscode.house.gov/view.xhtml?req=granuleid:USC-prelim-title42-section254b-2&amp;num=0&amp;edition=prelim", "42 U.S.C. 254b-2(b)(1)")</f>
        <v>42 U.S.C. 254b-2(b)(1)</v>
      </c>
      <c r="H1520" s="46">
        <v>45199</v>
      </c>
      <c r="I1520" s="13">
        <v>2023</v>
      </c>
      <c r="J1520" s="47">
        <v>4000000000</v>
      </c>
      <c r="K1520" s="16" t="s">
        <v>62</v>
      </c>
      <c r="L1520" s="3" t="s">
        <v>60</v>
      </c>
      <c r="M1520" s="3" t="s">
        <v>71</v>
      </c>
      <c r="N1520" s="3" t="s">
        <v>72</v>
      </c>
    </row>
    <row r="1521" spans="1:14" x14ac:dyDescent="0.3">
      <c r="A1521" s="36" t="s">
        <v>37</v>
      </c>
      <c r="B1521" s="13">
        <v>116</v>
      </c>
      <c r="C1521" s="48" t="str">
        <f t="shared" si="59"/>
        <v>P.L. 116-260</v>
      </c>
      <c r="D1521" s="3" t="s">
        <v>2758</v>
      </c>
      <c r="F1521" s="3" t="s">
        <v>2822</v>
      </c>
      <c r="G1521" s="48" t="str">
        <f>HYPERLINK("https://uscode.house.gov/view.xhtml?req=granuleid:USC-prelim-title42-section254b-2&amp;num=0&amp;edition=prelim", "42 U.S.C. 254b-2(b)(2)")</f>
        <v>42 U.S.C. 254b-2(b)(2)</v>
      </c>
      <c r="H1521" s="46">
        <v>45199</v>
      </c>
      <c r="I1521" s="13">
        <v>2023</v>
      </c>
      <c r="J1521" s="47">
        <v>310000000</v>
      </c>
      <c r="K1521" s="16" t="s">
        <v>62</v>
      </c>
      <c r="L1521" s="3" t="s">
        <v>60</v>
      </c>
      <c r="M1521" s="3" t="s">
        <v>71</v>
      </c>
      <c r="N1521" s="3" t="s">
        <v>72</v>
      </c>
    </row>
    <row r="1522" spans="1:14" x14ac:dyDescent="0.3">
      <c r="A1522" s="36" t="s">
        <v>37</v>
      </c>
      <c r="B1522" s="13">
        <v>116</v>
      </c>
      <c r="C1522" s="48" t="str">
        <f t="shared" si="59"/>
        <v>P.L. 116-260</v>
      </c>
      <c r="D1522" s="3" t="s">
        <v>2758</v>
      </c>
      <c r="E1522" s="3" t="s">
        <v>2823</v>
      </c>
      <c r="F1522" s="3" t="s">
        <v>2824</v>
      </c>
      <c r="G1522" s="48" t="str">
        <f>HYPERLINK("https://uscode.house.gov/view.xhtml?req=granuleid:USC-prelim-title42-section256h&amp;num=0&amp;edition=prelim", "42 U.S.C. 256h(g)(1)")</f>
        <v>42 U.S.C. 256h(g)(1)</v>
      </c>
      <c r="H1522" s="46">
        <v>45199</v>
      </c>
      <c r="I1522" s="13">
        <v>2023</v>
      </c>
      <c r="J1522" s="47">
        <v>126500000</v>
      </c>
      <c r="K1522" s="16" t="s">
        <v>62</v>
      </c>
      <c r="L1522" s="3" t="s">
        <v>60</v>
      </c>
      <c r="M1522" s="3" t="s">
        <v>71</v>
      </c>
      <c r="N1522" s="3" t="s">
        <v>72</v>
      </c>
    </row>
    <row r="1523" spans="1:14" x14ac:dyDescent="0.3">
      <c r="A1523" s="36" t="s">
        <v>37</v>
      </c>
      <c r="B1523" s="13">
        <v>116</v>
      </c>
      <c r="C1523" s="48" t="str">
        <f t="shared" si="59"/>
        <v>P.L. 116-260</v>
      </c>
      <c r="D1523" s="3" t="s">
        <v>2758</v>
      </c>
      <c r="E1523" s="3" t="s">
        <v>2825</v>
      </c>
      <c r="F1523" s="3" t="s">
        <v>2826</v>
      </c>
      <c r="G1523" s="48" t="str">
        <f>HYPERLINK("https://uscode.house.gov/view.xhtml?req=granuleid:USC-prelim-title42-section245&amp;num=0&amp;edition=prelim", "42 U.S.C. 245")</f>
        <v>42 U.S.C. 245</v>
      </c>
      <c r="H1523" s="46">
        <v>45930</v>
      </c>
      <c r="I1523" s="13">
        <v>2025</v>
      </c>
      <c r="J1523" s="47">
        <v>15000000</v>
      </c>
      <c r="K1523" s="16" t="s">
        <v>62</v>
      </c>
      <c r="L1523" s="3" t="s">
        <v>60</v>
      </c>
      <c r="M1523" s="3" t="s">
        <v>71</v>
      </c>
      <c r="N1523" s="3" t="s">
        <v>72</v>
      </c>
    </row>
    <row r="1524" spans="1:14" x14ac:dyDescent="0.3">
      <c r="A1524" s="36" t="s">
        <v>37</v>
      </c>
      <c r="B1524" s="13">
        <v>116</v>
      </c>
      <c r="C1524" s="48" t="str">
        <f t="shared" si="59"/>
        <v>P.L. 116-260</v>
      </c>
      <c r="D1524" s="3" t="s">
        <v>2758</v>
      </c>
      <c r="E1524" s="3" t="s">
        <v>2827</v>
      </c>
      <c r="F1524" s="3" t="s">
        <v>2828</v>
      </c>
      <c r="G1524" s="48" t="str">
        <f>HYPERLINK("https://uscode.house.gov/view.xhtml?req=granuleid:USC-prelim-title42-section254c-19&amp;num=0&amp;edition=prelim", "42 U.S.C. 254c-19")</f>
        <v>42 U.S.C. 254c-19</v>
      </c>
      <c r="H1524" s="46">
        <v>46295</v>
      </c>
      <c r="I1524" s="13">
        <v>2026</v>
      </c>
      <c r="J1524" s="47">
        <v>10000000</v>
      </c>
      <c r="K1524" s="16" t="s">
        <v>62</v>
      </c>
      <c r="L1524" s="3" t="s">
        <v>60</v>
      </c>
      <c r="M1524" s="3" t="s">
        <v>71</v>
      </c>
      <c r="N1524" s="3" t="s">
        <v>72</v>
      </c>
    </row>
    <row r="1525" spans="1:14" x14ac:dyDescent="0.3">
      <c r="A1525" s="36" t="s">
        <v>37</v>
      </c>
      <c r="B1525" s="13">
        <v>116</v>
      </c>
      <c r="C1525" s="48" t="str">
        <f t="shared" si="59"/>
        <v>P.L. 116-260</v>
      </c>
      <c r="D1525" s="3" t="s">
        <v>2758</v>
      </c>
      <c r="E1525" s="3" t="s">
        <v>2829</v>
      </c>
      <c r="F1525" s="3" t="s">
        <v>2830</v>
      </c>
      <c r="G1525" s="48" t="str">
        <f>HYPERLINK("https://uscode.house.gov/view.xhtml?req=granuleid:USC-prelim-title42-section300hh-31&amp;num=0&amp;edition=prelim", "42 U.S.C. 300hh-31(at end)")</f>
        <v>42 U.S.C. 300hh-31(at end)</v>
      </c>
      <c r="H1525" s="46">
        <v>46295</v>
      </c>
      <c r="I1525" s="13">
        <v>2026</v>
      </c>
      <c r="J1525" s="47">
        <v>100000000</v>
      </c>
      <c r="K1525" s="16" t="s">
        <v>62</v>
      </c>
      <c r="L1525" s="3" t="s">
        <v>60</v>
      </c>
      <c r="M1525" s="3" t="s">
        <v>71</v>
      </c>
      <c r="N1525" s="3" t="s">
        <v>72</v>
      </c>
    </row>
    <row r="1526" spans="1:14" x14ac:dyDescent="0.3">
      <c r="A1526" s="36" t="s">
        <v>37</v>
      </c>
      <c r="B1526" s="13">
        <v>116</v>
      </c>
      <c r="C1526" s="48" t="str">
        <f t="shared" si="59"/>
        <v>P.L. 116-260</v>
      </c>
      <c r="D1526" s="3" t="s">
        <v>2758</v>
      </c>
      <c r="F1526" s="3" t="s">
        <v>2831</v>
      </c>
      <c r="G1526" s="48" t="str">
        <f>HYPERLINK("https://uscode.house.gov/view.xhtml?req=granuleid:USC-prelim-title42-section13344&amp;num=0&amp;edition=prelim", "42 U.S.C. 13344(a)(2)")</f>
        <v>42 U.S.C. 13344(a)(2)</v>
      </c>
      <c r="H1526" s="46">
        <v>46295</v>
      </c>
      <c r="I1526" s="13">
        <v>2026</v>
      </c>
      <c r="J1526" s="47">
        <v>27800000</v>
      </c>
      <c r="K1526" s="16" t="s">
        <v>62</v>
      </c>
      <c r="L1526" s="3" t="s">
        <v>60</v>
      </c>
      <c r="M1526" s="3" t="s">
        <v>48</v>
      </c>
      <c r="N1526" s="3" t="s">
        <v>58</v>
      </c>
    </row>
    <row r="1527" spans="1:14" x14ac:dyDescent="0.3">
      <c r="A1527" s="36" t="s">
        <v>37</v>
      </c>
      <c r="B1527" s="13">
        <v>116</v>
      </c>
      <c r="C1527" s="48" t="str">
        <f t="shared" si="59"/>
        <v>P.L. 116-260</v>
      </c>
      <c r="D1527" s="3" t="s">
        <v>2758</v>
      </c>
      <c r="F1527" s="3" t="s">
        <v>2832</v>
      </c>
      <c r="G1527" s="49"/>
      <c r="H1527" s="46">
        <v>45930</v>
      </c>
      <c r="I1527" s="13">
        <v>2025</v>
      </c>
      <c r="J1527" s="47">
        <v>281000000</v>
      </c>
      <c r="K1527" s="16" t="s">
        <v>62</v>
      </c>
      <c r="L1527" s="3" t="s">
        <v>60</v>
      </c>
      <c r="M1527" s="3" t="s">
        <v>48</v>
      </c>
      <c r="N1527" s="3" t="s">
        <v>58</v>
      </c>
    </row>
    <row r="1528" spans="1:14" x14ac:dyDescent="0.3">
      <c r="A1528" s="36" t="s">
        <v>37</v>
      </c>
      <c r="B1528" s="13">
        <v>116</v>
      </c>
      <c r="C1528" s="48" t="str">
        <f t="shared" si="59"/>
        <v>P.L. 116-260</v>
      </c>
      <c r="D1528" s="3" t="s">
        <v>2758</v>
      </c>
      <c r="F1528" s="3" t="s">
        <v>2833</v>
      </c>
      <c r="G1528" s="49"/>
      <c r="H1528" s="46">
        <v>45930</v>
      </c>
      <c r="I1528" s="13">
        <v>2025</v>
      </c>
      <c r="J1528" s="47">
        <v>70000000</v>
      </c>
      <c r="K1528" s="16" t="s">
        <v>62</v>
      </c>
      <c r="L1528" s="3" t="s">
        <v>60</v>
      </c>
      <c r="M1528" s="3" t="s">
        <v>48</v>
      </c>
      <c r="N1528" s="3" t="s">
        <v>58</v>
      </c>
    </row>
    <row r="1529" spans="1:14" x14ac:dyDescent="0.3">
      <c r="A1529" s="36" t="s">
        <v>37</v>
      </c>
      <c r="B1529" s="13">
        <v>116</v>
      </c>
      <c r="C1529" s="48" t="str">
        <f t="shared" si="59"/>
        <v>P.L. 116-260</v>
      </c>
      <c r="D1529" s="3" t="s">
        <v>2758</v>
      </c>
      <c r="F1529" s="3" t="s">
        <v>2834</v>
      </c>
      <c r="G1529" s="49"/>
      <c r="H1529" s="46">
        <v>45930</v>
      </c>
      <c r="I1529" s="13">
        <v>2025</v>
      </c>
      <c r="J1529" s="47">
        <v>21000000</v>
      </c>
      <c r="K1529" s="16" t="s">
        <v>62</v>
      </c>
      <c r="L1529" s="3" t="s">
        <v>60</v>
      </c>
      <c r="M1529" s="3" t="s">
        <v>48</v>
      </c>
      <c r="N1529" s="3" t="s">
        <v>58</v>
      </c>
    </row>
    <row r="1530" spans="1:14" x14ac:dyDescent="0.3">
      <c r="A1530" s="36" t="s">
        <v>37</v>
      </c>
      <c r="B1530" s="13">
        <v>116</v>
      </c>
      <c r="C1530" s="48" t="str">
        <f t="shared" si="59"/>
        <v>P.L. 116-260</v>
      </c>
      <c r="D1530" s="3" t="s">
        <v>2758</v>
      </c>
      <c r="F1530" s="3" t="s">
        <v>2835</v>
      </c>
      <c r="G1530" s="49"/>
      <c r="H1530" s="46">
        <v>44469</v>
      </c>
      <c r="I1530" s="13">
        <v>2021</v>
      </c>
      <c r="J1530" s="47">
        <v>27000000</v>
      </c>
      <c r="K1530" s="16" t="s">
        <v>62</v>
      </c>
      <c r="L1530" s="3" t="s">
        <v>265</v>
      </c>
      <c r="M1530" s="3" t="s">
        <v>266</v>
      </c>
      <c r="N1530" s="3" t="s">
        <v>267</v>
      </c>
    </row>
    <row r="1531" spans="1:14" x14ac:dyDescent="0.3">
      <c r="A1531" s="36" t="s">
        <v>37</v>
      </c>
      <c r="B1531" s="13">
        <v>116</v>
      </c>
      <c r="C1531" s="48" t="str">
        <f t="shared" si="59"/>
        <v>P.L. 116-260</v>
      </c>
      <c r="D1531" s="3" t="s">
        <v>2758</v>
      </c>
      <c r="F1531" s="3" t="s">
        <v>2836</v>
      </c>
      <c r="G1531" s="48" t="str">
        <f>HYPERLINK("https://uscode.house.gov/view.xhtml?req=granuleid:USC-prelim-title42-section18644&amp;num=0&amp;edition=prelim", "42 U.S.C. 18644(c)")</f>
        <v>42 U.S.C. 18644(c)</v>
      </c>
      <c r="H1531" s="46">
        <v>45565</v>
      </c>
      <c r="I1531" s="13">
        <v>2024</v>
      </c>
      <c r="J1531" s="47">
        <v>40000000</v>
      </c>
      <c r="K1531" s="16" t="s">
        <v>62</v>
      </c>
      <c r="L1531" s="3" t="s">
        <v>60</v>
      </c>
      <c r="M1531" s="3" t="s">
        <v>48</v>
      </c>
      <c r="N1531" s="3" t="s">
        <v>58</v>
      </c>
    </row>
    <row r="1532" spans="1:14" x14ac:dyDescent="0.3">
      <c r="A1532" s="36" t="s">
        <v>37</v>
      </c>
      <c r="B1532" s="13">
        <v>116</v>
      </c>
      <c r="C1532" s="48" t="str">
        <f t="shared" si="59"/>
        <v>P.L. 116-260</v>
      </c>
      <c r="D1532" s="3" t="s">
        <v>2758</v>
      </c>
      <c r="E1532" s="3" t="s">
        <v>2837</v>
      </c>
      <c r="F1532" s="3" t="s">
        <v>2838</v>
      </c>
      <c r="G1532" s="48" t="str">
        <f>HYPERLINK("https://uscode.house.gov/view.xhtml?req=granuleid:USC-prelim-title22-section5811&amp;num=0&amp;edition=prelim", "22 U.S.C. 5811(d)")</f>
        <v>22 U.S.C. 5811(d)</v>
      </c>
      <c r="H1532" s="46">
        <v>44834</v>
      </c>
      <c r="I1532" s="13">
        <v>2022</v>
      </c>
      <c r="J1532" s="16" t="s">
        <v>12</v>
      </c>
      <c r="K1532" s="16" t="s">
        <v>62</v>
      </c>
      <c r="L1532" s="3" t="s">
        <v>80</v>
      </c>
      <c r="M1532" s="3" t="s">
        <v>81</v>
      </c>
      <c r="N1532" s="3" t="s">
        <v>82</v>
      </c>
    </row>
    <row r="1533" spans="1:14" x14ac:dyDescent="0.3">
      <c r="A1533" s="36" t="s">
        <v>37</v>
      </c>
      <c r="B1533" s="13">
        <v>116</v>
      </c>
      <c r="C1533" s="48" t="str">
        <f t="shared" si="59"/>
        <v>P.L. 116-260</v>
      </c>
      <c r="D1533" s="3" t="s">
        <v>2758</v>
      </c>
      <c r="E1533" s="3" t="s">
        <v>2839</v>
      </c>
      <c r="F1533" s="3" t="s">
        <v>2840</v>
      </c>
      <c r="G1533" s="48" t="str">
        <f>HYPERLINK("https://uscode.house.gov/view.xhtml?req=granuleid:USC-prelim-title42-section243&amp;num=0&amp;edition=prelim", "42 U.S.C. 243")</f>
        <v>42 U.S.C. 243</v>
      </c>
      <c r="H1533" s="46">
        <v>45565</v>
      </c>
      <c r="I1533" s="13">
        <v>2024</v>
      </c>
      <c r="J1533" s="47">
        <v>25000000</v>
      </c>
      <c r="K1533" s="16" t="s">
        <v>62</v>
      </c>
      <c r="L1533" s="3" t="s">
        <v>60</v>
      </c>
      <c r="M1533" s="3" t="s">
        <v>71</v>
      </c>
      <c r="N1533" s="3" t="s">
        <v>72</v>
      </c>
    </row>
    <row r="1534" spans="1:14" x14ac:dyDescent="0.3">
      <c r="A1534" s="36" t="s">
        <v>37</v>
      </c>
      <c r="B1534" s="13">
        <v>116</v>
      </c>
      <c r="C1534" s="48" t="str">
        <f t="shared" si="59"/>
        <v>P.L. 116-260</v>
      </c>
      <c r="D1534" s="3" t="s">
        <v>2758</v>
      </c>
      <c r="E1534" s="3" t="s">
        <v>2839</v>
      </c>
      <c r="F1534" s="3" t="s">
        <v>2841</v>
      </c>
      <c r="G1534" s="48" t="str">
        <f>HYPERLINK("https://uscode.house.gov/view.xhtml?req=granuleid:USC-prelim-title29-section1191&amp;num=0&amp;edition=prelim", "29 U.S.C. 1191")</f>
        <v>29 U.S.C. 1191</v>
      </c>
      <c r="H1534" s="46">
        <v>44469</v>
      </c>
      <c r="I1534" s="13">
        <v>2021</v>
      </c>
      <c r="J1534" s="47">
        <v>5000000</v>
      </c>
      <c r="K1534" s="16" t="s">
        <v>62</v>
      </c>
      <c r="L1534" s="3" t="s">
        <v>60</v>
      </c>
      <c r="M1534" s="3" t="s">
        <v>71</v>
      </c>
      <c r="N1534" s="3" t="s">
        <v>72</v>
      </c>
    </row>
    <row r="1535" spans="1:14" x14ac:dyDescent="0.3">
      <c r="A1535" s="36" t="s">
        <v>37</v>
      </c>
      <c r="B1535" s="13">
        <v>116</v>
      </c>
      <c r="C1535" s="48" t="str">
        <f t="shared" si="59"/>
        <v>P.L. 116-260</v>
      </c>
      <c r="D1535" s="3" t="s">
        <v>2758</v>
      </c>
      <c r="E1535" s="3" t="s">
        <v>2842</v>
      </c>
      <c r="F1535" s="3" t="s">
        <v>2843</v>
      </c>
      <c r="G1535" s="48" t="str">
        <f>HYPERLINK("https://uscode.house.gov/view.xhtml?req=granuleid:USC-prelim-title16-section1015a&amp;num=0&amp;edition=prelim", "16 U.S.C. 1015a")</f>
        <v>16 U.S.C. 1015a</v>
      </c>
      <c r="H1535" s="46">
        <v>46295</v>
      </c>
      <c r="I1535" s="13">
        <v>2026</v>
      </c>
      <c r="J1535" s="47">
        <v>20000000</v>
      </c>
      <c r="K1535" s="16" t="s">
        <v>62</v>
      </c>
      <c r="L1535" s="3" t="s">
        <v>47</v>
      </c>
      <c r="M1535" s="3" t="s">
        <v>48</v>
      </c>
      <c r="N1535" s="3" t="s">
        <v>49</v>
      </c>
    </row>
    <row r="1536" spans="1:14" x14ac:dyDescent="0.3">
      <c r="A1536" s="36" t="s">
        <v>37</v>
      </c>
      <c r="B1536" s="13">
        <v>116</v>
      </c>
      <c r="C1536" s="48" t="str">
        <f t="shared" si="59"/>
        <v>P.L. 116-260</v>
      </c>
      <c r="D1536" s="3" t="s">
        <v>2758</v>
      </c>
      <c r="E1536" s="3" t="s">
        <v>2844</v>
      </c>
      <c r="F1536" s="3" t="s">
        <v>2845</v>
      </c>
      <c r="G1536" s="49"/>
      <c r="H1536" s="46">
        <v>47026</v>
      </c>
      <c r="I1536" s="13">
        <v>2028</v>
      </c>
      <c r="J1536" s="16" t="s">
        <v>12</v>
      </c>
      <c r="K1536" s="16" t="s">
        <v>62</v>
      </c>
      <c r="L1536" s="3" t="s">
        <v>47</v>
      </c>
      <c r="M1536" s="3" t="s">
        <v>236</v>
      </c>
      <c r="N1536" s="3" t="s">
        <v>49</v>
      </c>
    </row>
    <row r="1537" spans="1:14" x14ac:dyDescent="0.3">
      <c r="A1537" s="36" t="s">
        <v>37</v>
      </c>
      <c r="B1537" s="13">
        <v>116</v>
      </c>
      <c r="C1537" s="48" t="str">
        <f t="shared" si="59"/>
        <v>P.L. 116-260</v>
      </c>
      <c r="D1537" s="3" t="s">
        <v>2758</v>
      </c>
      <c r="E1537" s="3" t="s">
        <v>2846</v>
      </c>
      <c r="F1537" s="3" t="s">
        <v>2847</v>
      </c>
      <c r="G1537" s="48" t="str">
        <f>HYPERLINK("https://uscode.house.gov/view.xhtml?req=granuleid:USC-prelim-title42-section10301&amp;num=0&amp;edition=prelim", "42 U.S.C. 10301(note)")</f>
        <v>42 U.S.C. 10301(note)</v>
      </c>
      <c r="H1537" s="46">
        <v>46295</v>
      </c>
      <c r="I1537" s="13">
        <v>2026</v>
      </c>
      <c r="J1537" s="47">
        <v>20000000</v>
      </c>
      <c r="K1537" s="16" t="s">
        <v>62</v>
      </c>
      <c r="L1537" s="3" t="s">
        <v>47</v>
      </c>
      <c r="M1537" s="3" t="s">
        <v>67</v>
      </c>
      <c r="N1537" s="3" t="s">
        <v>58</v>
      </c>
    </row>
    <row r="1538" spans="1:14" x14ac:dyDescent="0.3">
      <c r="A1538" s="36" t="s">
        <v>37</v>
      </c>
      <c r="B1538" s="13">
        <v>116</v>
      </c>
      <c r="C1538" s="48" t="str">
        <f t="shared" si="59"/>
        <v>P.L. 116-260</v>
      </c>
      <c r="D1538" s="3" t="s">
        <v>2758</v>
      </c>
      <c r="E1538" s="3" t="s">
        <v>2848</v>
      </c>
      <c r="F1538" s="3" t="s">
        <v>2849</v>
      </c>
      <c r="G1538" s="49"/>
      <c r="H1538" s="46">
        <v>45930</v>
      </c>
      <c r="I1538" s="13">
        <v>2025</v>
      </c>
      <c r="J1538" s="47">
        <v>4000000</v>
      </c>
      <c r="K1538" s="16" t="s">
        <v>62</v>
      </c>
      <c r="L1538" s="3" t="s">
        <v>47</v>
      </c>
      <c r="M1538" s="3" t="s">
        <v>48</v>
      </c>
      <c r="N1538" s="3" t="s">
        <v>49</v>
      </c>
    </row>
    <row r="1539" spans="1:14" x14ac:dyDescent="0.3">
      <c r="A1539" s="36" t="s">
        <v>37</v>
      </c>
      <c r="B1539" s="13">
        <v>116</v>
      </c>
      <c r="C1539" s="48" t="str">
        <f t="shared" si="59"/>
        <v>P.L. 116-260</v>
      </c>
      <c r="D1539" s="3" t="s">
        <v>2758</v>
      </c>
      <c r="E1539" s="3" t="s">
        <v>2850</v>
      </c>
      <c r="F1539" s="3" t="s">
        <v>2851</v>
      </c>
      <c r="G1539" s="48" t="str">
        <f>HYPERLINK("https://uscode.house.gov/view.xhtml?req=granuleid:USC-prelim-title33-section2238c&amp;num=0&amp;edition=prelim", "33 U.S.C. 2238c")</f>
        <v>33 U.S.C. 2238c</v>
      </c>
      <c r="H1539" s="46">
        <v>47756</v>
      </c>
      <c r="I1539" s="13">
        <v>2030</v>
      </c>
      <c r="J1539" s="47">
        <v>70000000</v>
      </c>
      <c r="K1539" s="16" t="s">
        <v>62</v>
      </c>
      <c r="L1539" s="3" t="s">
        <v>109</v>
      </c>
      <c r="M1539" s="3" t="s">
        <v>67</v>
      </c>
      <c r="N1539" s="3" t="s">
        <v>122</v>
      </c>
    </row>
    <row r="1540" spans="1:14" x14ac:dyDescent="0.3">
      <c r="A1540" s="36" t="s">
        <v>37</v>
      </c>
      <c r="B1540" s="13">
        <v>116</v>
      </c>
      <c r="C1540" s="48" t="str">
        <f t="shared" ref="C1540:C1571" si="60">HYPERLINK("https://uscode.house.gov/statutes/pl/116/260.pdf", "P.L. 116-260")</f>
        <v>P.L. 116-260</v>
      </c>
      <c r="D1540" s="3" t="s">
        <v>2758</v>
      </c>
      <c r="E1540" s="3" t="s">
        <v>654</v>
      </c>
      <c r="F1540" s="3" t="s">
        <v>2852</v>
      </c>
      <c r="G1540" s="48" t="str">
        <f>HYPERLINK("https://uscode.house.gov/view.xhtml?req=granuleid:USC-prelim-title33-section2201&amp;num=0&amp;edition=prelim", "33 U.S.C. 2201(note)")</f>
        <v>33 U.S.C. 2201(note)</v>
      </c>
      <c r="H1540" s="46">
        <v>46295</v>
      </c>
      <c r="I1540" s="13">
        <v>2026</v>
      </c>
      <c r="J1540" s="47">
        <v>25000000</v>
      </c>
      <c r="K1540" s="16" t="s">
        <v>62</v>
      </c>
      <c r="L1540" s="3" t="s">
        <v>109</v>
      </c>
      <c r="M1540" s="3" t="s">
        <v>67</v>
      </c>
      <c r="N1540" s="3" t="s">
        <v>58</v>
      </c>
    </row>
    <row r="1541" spans="1:14" x14ac:dyDescent="0.3">
      <c r="A1541" s="36" t="s">
        <v>37</v>
      </c>
      <c r="B1541" s="13">
        <v>116</v>
      </c>
      <c r="C1541" s="48" t="str">
        <f t="shared" si="60"/>
        <v>P.L. 116-260</v>
      </c>
      <c r="D1541" s="3" t="s">
        <v>2758</v>
      </c>
      <c r="E1541" s="3" t="s">
        <v>2853</v>
      </c>
      <c r="F1541" s="3" t="s">
        <v>2854</v>
      </c>
      <c r="G1541" s="49"/>
      <c r="H1541" s="46">
        <v>45565</v>
      </c>
      <c r="I1541" s="13">
        <v>2024</v>
      </c>
      <c r="J1541" s="47">
        <v>25000000</v>
      </c>
      <c r="K1541" s="16" t="s">
        <v>62</v>
      </c>
      <c r="L1541" s="3" t="s">
        <v>109</v>
      </c>
      <c r="M1541" s="3" t="s">
        <v>67</v>
      </c>
      <c r="N1541" s="3" t="s">
        <v>58</v>
      </c>
    </row>
    <row r="1542" spans="1:14" x14ac:dyDescent="0.3">
      <c r="A1542" s="36" t="s">
        <v>37</v>
      </c>
      <c r="B1542" s="13">
        <v>116</v>
      </c>
      <c r="C1542" s="48" t="str">
        <f t="shared" si="60"/>
        <v>P.L. 116-260</v>
      </c>
      <c r="D1542" s="3" t="s">
        <v>2758</v>
      </c>
      <c r="E1542" s="3" t="s">
        <v>2855</v>
      </c>
      <c r="F1542" s="3" t="s">
        <v>2856</v>
      </c>
      <c r="G1542" s="49"/>
      <c r="H1542" s="46">
        <v>47756</v>
      </c>
      <c r="I1542" s="13">
        <v>2030</v>
      </c>
      <c r="J1542" s="47">
        <v>130000000</v>
      </c>
      <c r="K1542" s="16" t="s">
        <v>62</v>
      </c>
      <c r="L1542" s="3" t="s">
        <v>109</v>
      </c>
      <c r="M1542" s="3" t="s">
        <v>67</v>
      </c>
      <c r="N1542" s="3" t="s">
        <v>58</v>
      </c>
    </row>
    <row r="1543" spans="1:14" x14ac:dyDescent="0.3">
      <c r="A1543" s="36" t="s">
        <v>37</v>
      </c>
      <c r="B1543" s="13">
        <v>116</v>
      </c>
      <c r="C1543" s="48" t="str">
        <f t="shared" si="60"/>
        <v>P.L. 116-260</v>
      </c>
      <c r="D1543" s="3" t="s">
        <v>2758</v>
      </c>
      <c r="E1543" s="3" t="s">
        <v>2857</v>
      </c>
      <c r="F1543" s="3" t="s">
        <v>2858</v>
      </c>
      <c r="G1543" s="49"/>
      <c r="H1543" s="46">
        <v>45565</v>
      </c>
      <c r="I1543" s="13">
        <v>2024</v>
      </c>
      <c r="J1543" s="47">
        <v>25500000</v>
      </c>
      <c r="K1543" s="16" t="s">
        <v>62</v>
      </c>
      <c r="L1543" s="3" t="s">
        <v>109</v>
      </c>
      <c r="M1543" s="3" t="s">
        <v>67</v>
      </c>
      <c r="N1543" s="3" t="s">
        <v>58</v>
      </c>
    </row>
    <row r="1544" spans="1:14" x14ac:dyDescent="0.3">
      <c r="A1544" s="36" t="s">
        <v>37</v>
      </c>
      <c r="B1544" s="13">
        <v>116</v>
      </c>
      <c r="C1544" s="48" t="str">
        <f t="shared" si="60"/>
        <v>P.L. 116-260</v>
      </c>
      <c r="D1544" s="3" t="s">
        <v>2758</v>
      </c>
      <c r="E1544" s="3" t="s">
        <v>2859</v>
      </c>
      <c r="F1544" s="3" t="s">
        <v>2860</v>
      </c>
      <c r="G1544" s="49"/>
      <c r="H1544" s="46">
        <v>45565</v>
      </c>
      <c r="I1544" s="13">
        <v>2024</v>
      </c>
      <c r="J1544" s="47">
        <v>38000000</v>
      </c>
      <c r="K1544" s="16" t="s">
        <v>62</v>
      </c>
      <c r="L1544" s="3" t="s">
        <v>109</v>
      </c>
      <c r="M1544" s="3" t="s">
        <v>67</v>
      </c>
      <c r="N1544" s="3" t="s">
        <v>58</v>
      </c>
    </row>
    <row r="1545" spans="1:14" x14ac:dyDescent="0.3">
      <c r="A1545" s="36" t="s">
        <v>37</v>
      </c>
      <c r="B1545" s="13">
        <v>116</v>
      </c>
      <c r="C1545" s="48" t="str">
        <f t="shared" si="60"/>
        <v>P.L. 116-260</v>
      </c>
      <c r="D1545" s="3" t="s">
        <v>2758</v>
      </c>
      <c r="E1545" s="3" t="s">
        <v>2861</v>
      </c>
      <c r="F1545" s="3" t="s">
        <v>2862</v>
      </c>
      <c r="G1545" s="49"/>
      <c r="H1545" s="46">
        <v>45565</v>
      </c>
      <c r="I1545" s="13">
        <v>2024</v>
      </c>
      <c r="J1545" s="47">
        <v>63000000</v>
      </c>
      <c r="K1545" s="16" t="s">
        <v>62</v>
      </c>
      <c r="L1545" s="3" t="s">
        <v>109</v>
      </c>
      <c r="M1545" s="3" t="s">
        <v>67</v>
      </c>
      <c r="N1545" s="3" t="s">
        <v>58</v>
      </c>
    </row>
    <row r="1546" spans="1:14" x14ac:dyDescent="0.3">
      <c r="A1546" s="36" t="s">
        <v>37</v>
      </c>
      <c r="B1546" s="13">
        <v>116</v>
      </c>
      <c r="C1546" s="48" t="str">
        <f t="shared" si="60"/>
        <v>P.L. 116-260</v>
      </c>
      <c r="D1546" s="3" t="s">
        <v>2758</v>
      </c>
      <c r="E1546" s="3" t="s">
        <v>2863</v>
      </c>
      <c r="F1546" s="3" t="s">
        <v>2864</v>
      </c>
      <c r="G1546" s="49"/>
      <c r="H1546" s="46">
        <v>45565</v>
      </c>
      <c r="I1546" s="13">
        <v>2024</v>
      </c>
      <c r="J1546" s="47">
        <v>63000000</v>
      </c>
      <c r="K1546" s="16" t="s">
        <v>62</v>
      </c>
      <c r="L1546" s="3" t="s">
        <v>109</v>
      </c>
      <c r="M1546" s="3" t="s">
        <v>67</v>
      </c>
      <c r="N1546" s="3" t="s">
        <v>58</v>
      </c>
    </row>
    <row r="1547" spans="1:14" x14ac:dyDescent="0.3">
      <c r="A1547" s="36" t="s">
        <v>37</v>
      </c>
      <c r="B1547" s="13">
        <v>116</v>
      </c>
      <c r="C1547" s="48" t="str">
        <f t="shared" si="60"/>
        <v>P.L. 116-260</v>
      </c>
      <c r="D1547" s="3" t="s">
        <v>2758</v>
      </c>
      <c r="E1547" s="3" t="s">
        <v>2865</v>
      </c>
      <c r="F1547" s="3" t="s">
        <v>2866</v>
      </c>
      <c r="G1547" s="49"/>
      <c r="H1547" s="46">
        <v>45565</v>
      </c>
      <c r="I1547" s="13">
        <v>2024</v>
      </c>
      <c r="J1547" s="47">
        <v>69250000</v>
      </c>
      <c r="K1547" s="16" t="s">
        <v>62</v>
      </c>
      <c r="L1547" s="3" t="s">
        <v>109</v>
      </c>
      <c r="M1547" s="3" t="s">
        <v>67</v>
      </c>
      <c r="N1547" s="3" t="s">
        <v>58</v>
      </c>
    </row>
    <row r="1548" spans="1:14" x14ac:dyDescent="0.3">
      <c r="A1548" s="36" t="s">
        <v>37</v>
      </c>
      <c r="B1548" s="13">
        <v>116</v>
      </c>
      <c r="C1548" s="48" t="str">
        <f t="shared" si="60"/>
        <v>P.L. 116-260</v>
      </c>
      <c r="D1548" s="3" t="s">
        <v>2758</v>
      </c>
      <c r="E1548" s="3" t="s">
        <v>2867</v>
      </c>
      <c r="F1548" s="3" t="s">
        <v>2868</v>
      </c>
      <c r="G1548" s="49"/>
      <c r="H1548" s="46">
        <v>45565</v>
      </c>
      <c r="I1548" s="13">
        <v>2024</v>
      </c>
      <c r="J1548" s="47">
        <v>63000000</v>
      </c>
      <c r="K1548" s="16" t="s">
        <v>62</v>
      </c>
      <c r="L1548" s="3" t="s">
        <v>109</v>
      </c>
      <c r="M1548" s="3" t="s">
        <v>67</v>
      </c>
      <c r="N1548" s="3" t="s">
        <v>58</v>
      </c>
    </row>
    <row r="1549" spans="1:14" x14ac:dyDescent="0.3">
      <c r="A1549" s="36" t="s">
        <v>37</v>
      </c>
      <c r="B1549" s="13">
        <v>116</v>
      </c>
      <c r="C1549" s="48" t="str">
        <f t="shared" si="60"/>
        <v>P.L. 116-260</v>
      </c>
      <c r="D1549" s="3" t="s">
        <v>2758</v>
      </c>
      <c r="E1549" s="3" t="s">
        <v>2869</v>
      </c>
      <c r="F1549" s="3" t="s">
        <v>2870</v>
      </c>
      <c r="G1549" s="49"/>
      <c r="H1549" s="46">
        <v>45565</v>
      </c>
      <c r="I1549" s="13">
        <v>2024</v>
      </c>
      <c r="J1549" s="47">
        <v>8000000</v>
      </c>
      <c r="K1549" s="16" t="s">
        <v>62</v>
      </c>
      <c r="L1549" s="3" t="s">
        <v>109</v>
      </c>
      <c r="M1549" s="3" t="s">
        <v>67</v>
      </c>
      <c r="N1549" s="3" t="s">
        <v>58</v>
      </c>
    </row>
    <row r="1550" spans="1:14" x14ac:dyDescent="0.3">
      <c r="A1550" s="36" t="s">
        <v>37</v>
      </c>
      <c r="B1550" s="13">
        <v>116</v>
      </c>
      <c r="C1550" s="48" t="str">
        <f t="shared" si="60"/>
        <v>P.L. 116-260</v>
      </c>
      <c r="D1550" s="3" t="s">
        <v>2758</v>
      </c>
      <c r="E1550" s="3" t="s">
        <v>2871</v>
      </c>
      <c r="F1550" s="3" t="s">
        <v>2872</v>
      </c>
      <c r="G1550" s="49"/>
      <c r="H1550" s="46">
        <v>45565</v>
      </c>
      <c r="I1550" s="13">
        <v>2024</v>
      </c>
      <c r="J1550" s="47">
        <v>50500000</v>
      </c>
      <c r="K1550" s="16" t="s">
        <v>62</v>
      </c>
      <c r="L1550" s="3" t="s">
        <v>109</v>
      </c>
      <c r="M1550" s="3" t="s">
        <v>67</v>
      </c>
      <c r="N1550" s="3" t="s">
        <v>58</v>
      </c>
    </row>
    <row r="1551" spans="1:14" x14ac:dyDescent="0.3">
      <c r="A1551" s="36" t="s">
        <v>37</v>
      </c>
      <c r="B1551" s="13">
        <v>116</v>
      </c>
      <c r="C1551" s="48" t="str">
        <f t="shared" si="60"/>
        <v>P.L. 116-260</v>
      </c>
      <c r="D1551" s="3" t="s">
        <v>2758</v>
      </c>
      <c r="E1551" s="3" t="s">
        <v>2873</v>
      </c>
      <c r="F1551" s="3" t="s">
        <v>2874</v>
      </c>
      <c r="G1551" s="49"/>
      <c r="H1551" s="46">
        <v>46295</v>
      </c>
      <c r="I1551" s="13">
        <v>2026</v>
      </c>
      <c r="J1551" s="47">
        <v>60000000</v>
      </c>
      <c r="K1551" s="16" t="s">
        <v>62</v>
      </c>
      <c r="L1551" s="3" t="s">
        <v>109</v>
      </c>
      <c r="M1551" s="3" t="s">
        <v>67</v>
      </c>
      <c r="N1551" s="3" t="s">
        <v>58</v>
      </c>
    </row>
    <row r="1552" spans="1:14" x14ac:dyDescent="0.3">
      <c r="A1552" s="36" t="s">
        <v>37</v>
      </c>
      <c r="B1552" s="13">
        <v>116</v>
      </c>
      <c r="C1552" s="48" t="str">
        <f t="shared" si="60"/>
        <v>P.L. 116-260</v>
      </c>
      <c r="D1552" s="3" t="s">
        <v>2758</v>
      </c>
      <c r="F1552" s="3" t="s">
        <v>2875</v>
      </c>
      <c r="G1552" s="49"/>
      <c r="H1552" s="46">
        <v>47391</v>
      </c>
      <c r="I1552" s="13">
        <v>2029</v>
      </c>
      <c r="J1552" s="47">
        <v>15000000</v>
      </c>
      <c r="K1552" s="16" t="s">
        <v>62</v>
      </c>
      <c r="L1552" s="3" t="s">
        <v>109</v>
      </c>
      <c r="M1552" s="3" t="s">
        <v>67</v>
      </c>
      <c r="N1552" s="3" t="s">
        <v>58</v>
      </c>
    </row>
    <row r="1553" spans="1:14" x14ac:dyDescent="0.3">
      <c r="A1553" s="36" t="s">
        <v>37</v>
      </c>
      <c r="B1553" s="13">
        <v>116</v>
      </c>
      <c r="C1553" s="48" t="str">
        <f t="shared" si="60"/>
        <v>P.L. 116-260</v>
      </c>
      <c r="D1553" s="3" t="s">
        <v>2758</v>
      </c>
      <c r="E1553" s="3" t="s">
        <v>2876</v>
      </c>
      <c r="F1553" s="3" t="s">
        <v>2877</v>
      </c>
      <c r="G1553" s="49"/>
      <c r="H1553" s="46">
        <v>45565</v>
      </c>
      <c r="I1553" s="13">
        <v>2024</v>
      </c>
      <c r="J1553" s="47">
        <v>25000000</v>
      </c>
      <c r="K1553" s="16" t="s">
        <v>62</v>
      </c>
      <c r="L1553" s="3" t="s">
        <v>47</v>
      </c>
      <c r="M1553" s="3" t="s">
        <v>67</v>
      </c>
      <c r="N1553" s="3" t="s">
        <v>49</v>
      </c>
    </row>
    <row r="1554" spans="1:14" x14ac:dyDescent="0.3">
      <c r="A1554" s="36" t="s">
        <v>37</v>
      </c>
      <c r="B1554" s="13">
        <v>116</v>
      </c>
      <c r="C1554" s="48" t="str">
        <f t="shared" si="60"/>
        <v>P.L. 116-260</v>
      </c>
      <c r="D1554" s="3" t="s">
        <v>2758</v>
      </c>
      <c r="E1554" s="3" t="s">
        <v>2878</v>
      </c>
      <c r="F1554" s="3" t="s">
        <v>2879</v>
      </c>
      <c r="G1554" s="49"/>
      <c r="H1554" s="46">
        <v>45930</v>
      </c>
      <c r="I1554" s="13">
        <v>2025</v>
      </c>
      <c r="J1554" s="47">
        <v>4000000</v>
      </c>
      <c r="K1554" s="16" t="s">
        <v>62</v>
      </c>
      <c r="L1554" s="3" t="s">
        <v>47</v>
      </c>
      <c r="M1554" s="3" t="s">
        <v>67</v>
      </c>
      <c r="N1554" s="3" t="s">
        <v>49</v>
      </c>
    </row>
    <row r="1555" spans="1:14" x14ac:dyDescent="0.3">
      <c r="A1555" s="36" t="s">
        <v>37</v>
      </c>
      <c r="B1555" s="13">
        <v>116</v>
      </c>
      <c r="C1555" s="48" t="str">
        <f t="shared" si="60"/>
        <v>P.L. 116-260</v>
      </c>
      <c r="D1555" s="3" t="s">
        <v>2758</v>
      </c>
      <c r="E1555" s="3" t="s">
        <v>2880</v>
      </c>
      <c r="F1555" s="3" t="s">
        <v>2881</v>
      </c>
      <c r="G1555" s="49"/>
      <c r="H1555" s="46">
        <v>45565</v>
      </c>
      <c r="I1555" s="13">
        <v>2024</v>
      </c>
      <c r="J1555" s="47">
        <v>25000000</v>
      </c>
      <c r="K1555" s="16" t="s">
        <v>62</v>
      </c>
      <c r="L1555" s="3" t="s">
        <v>47</v>
      </c>
      <c r="M1555" s="3" t="s">
        <v>67</v>
      </c>
      <c r="N1555" s="3" t="s">
        <v>49</v>
      </c>
    </row>
    <row r="1556" spans="1:14" x14ac:dyDescent="0.3">
      <c r="A1556" s="36" t="s">
        <v>37</v>
      </c>
      <c r="B1556" s="13">
        <v>116</v>
      </c>
      <c r="C1556" s="48" t="str">
        <f t="shared" si="60"/>
        <v>P.L. 116-260</v>
      </c>
      <c r="D1556" s="3" t="s">
        <v>2758</v>
      </c>
      <c r="E1556" s="3" t="s">
        <v>2882</v>
      </c>
      <c r="F1556" s="3" t="s">
        <v>2883</v>
      </c>
      <c r="G1556" s="49"/>
      <c r="H1556" s="46">
        <v>45930</v>
      </c>
      <c r="I1556" s="13">
        <v>2025</v>
      </c>
      <c r="J1556" s="47">
        <v>7000000</v>
      </c>
      <c r="K1556" s="16" t="s">
        <v>62</v>
      </c>
      <c r="L1556" s="3" t="s">
        <v>109</v>
      </c>
      <c r="M1556" s="3" t="s">
        <v>67</v>
      </c>
      <c r="N1556" s="3" t="s">
        <v>58</v>
      </c>
    </row>
    <row r="1557" spans="1:14" x14ac:dyDescent="0.3">
      <c r="A1557" s="36" t="s">
        <v>37</v>
      </c>
      <c r="B1557" s="13">
        <v>116</v>
      </c>
      <c r="C1557" s="48" t="str">
        <f t="shared" si="60"/>
        <v>P.L. 116-260</v>
      </c>
      <c r="D1557" s="3" t="s">
        <v>2758</v>
      </c>
      <c r="E1557" s="3" t="s">
        <v>2884</v>
      </c>
      <c r="F1557" s="3" t="s">
        <v>2885</v>
      </c>
      <c r="G1557" s="48" t="str">
        <f>HYPERLINK("https://uscode.house.gov/view.xhtml?req=granuleid:USC-prelim-title33-section610&amp;num=0&amp;edition=prelim", "33 U.S.C. 610(b)(2)")</f>
        <v>33 U.S.C. 610(b)(2)</v>
      </c>
      <c r="H1557" s="46">
        <v>45565</v>
      </c>
      <c r="I1557" s="13">
        <v>2024</v>
      </c>
      <c r="J1557" s="47">
        <v>10000000</v>
      </c>
      <c r="K1557" s="16" t="s">
        <v>62</v>
      </c>
      <c r="L1557" s="3" t="s">
        <v>109</v>
      </c>
      <c r="M1557" s="3" t="s">
        <v>67</v>
      </c>
      <c r="N1557" s="3" t="s">
        <v>58</v>
      </c>
    </row>
    <row r="1558" spans="1:14" x14ac:dyDescent="0.3">
      <c r="A1558" s="36" t="s">
        <v>37</v>
      </c>
      <c r="B1558" s="13">
        <v>116</v>
      </c>
      <c r="C1558" s="48" t="str">
        <f t="shared" si="60"/>
        <v>P.L. 116-260</v>
      </c>
      <c r="D1558" s="3" t="s">
        <v>2758</v>
      </c>
      <c r="E1558" s="3" t="s">
        <v>2884</v>
      </c>
      <c r="F1558" s="3" t="s">
        <v>2886</v>
      </c>
      <c r="G1558" s="48" t="str">
        <f>HYPERLINK("https://uscode.house.gov/view.xhtml?req=granuleid:USC-prelim-title33-section610&amp;num=0&amp;edition=prelim", "33 U.S.C. 610(b)(2)")</f>
        <v>33 U.S.C. 610(b)(2)</v>
      </c>
      <c r="H1558" s="46">
        <v>45565</v>
      </c>
      <c r="I1558" s="13">
        <v>2024</v>
      </c>
      <c r="J1558" s="47">
        <v>50000000</v>
      </c>
      <c r="K1558" s="16" t="s">
        <v>62</v>
      </c>
      <c r="L1558" s="3" t="s">
        <v>109</v>
      </c>
      <c r="M1558" s="3" t="s">
        <v>67</v>
      </c>
      <c r="N1558" s="3" t="s">
        <v>58</v>
      </c>
    </row>
    <row r="1559" spans="1:14" x14ac:dyDescent="0.3">
      <c r="A1559" s="36" t="s">
        <v>37</v>
      </c>
      <c r="B1559" s="13">
        <v>116</v>
      </c>
      <c r="C1559" s="48" t="str">
        <f t="shared" si="60"/>
        <v>P.L. 116-260</v>
      </c>
      <c r="D1559" s="3" t="s">
        <v>2758</v>
      </c>
      <c r="E1559" s="3" t="s">
        <v>2782</v>
      </c>
      <c r="F1559" s="3" t="s">
        <v>2887</v>
      </c>
      <c r="G1559" s="48" t="str">
        <f>HYPERLINK("https://uscode.house.gov/view.xhtml?req=granuleid:USC-prelim-title42-section16274&amp;num=0&amp;edition=prelim", "42 U.S.C. 16274")</f>
        <v>42 U.S.C. 16274</v>
      </c>
      <c r="H1559" s="46">
        <v>45930</v>
      </c>
      <c r="I1559" s="13">
        <v>2025</v>
      </c>
      <c r="J1559" s="47">
        <v>5000000</v>
      </c>
      <c r="K1559" s="16" t="s">
        <v>62</v>
      </c>
      <c r="L1559" s="3" t="s">
        <v>60</v>
      </c>
      <c r="M1559" s="3" t="s">
        <v>48</v>
      </c>
      <c r="N1559" s="3" t="s">
        <v>58</v>
      </c>
    </row>
    <row r="1560" spans="1:14" x14ac:dyDescent="0.3">
      <c r="A1560" s="36" t="s">
        <v>37</v>
      </c>
      <c r="B1560" s="13">
        <v>116</v>
      </c>
      <c r="C1560" s="48" t="str">
        <f t="shared" si="60"/>
        <v>P.L. 116-260</v>
      </c>
      <c r="D1560" s="3" t="s">
        <v>2758</v>
      </c>
      <c r="E1560" s="3" t="s">
        <v>2782</v>
      </c>
      <c r="F1560" s="3" t="s">
        <v>2888</v>
      </c>
      <c r="G1560" s="48" t="str">
        <f>HYPERLINK("https://uscode.house.gov/view.xhtml?req=granuleid:USC-prelim-title42-section16274a&amp;num=0&amp;edition=prelim", "42 U.S.C. 16274a")</f>
        <v>42 U.S.C. 16274a</v>
      </c>
      <c r="H1560" s="46">
        <v>45930</v>
      </c>
      <c r="I1560" s="13">
        <v>2025</v>
      </c>
      <c r="J1560" s="47">
        <v>15000000</v>
      </c>
      <c r="K1560" s="16" t="s">
        <v>62</v>
      </c>
      <c r="L1560" s="3" t="s">
        <v>60</v>
      </c>
      <c r="M1560" s="3" t="s">
        <v>48</v>
      </c>
      <c r="N1560" s="3" t="s">
        <v>58</v>
      </c>
    </row>
    <row r="1561" spans="1:14" x14ac:dyDescent="0.3">
      <c r="A1561" s="36" t="s">
        <v>37</v>
      </c>
      <c r="B1561" s="13">
        <v>116</v>
      </c>
      <c r="C1561" s="48" t="str">
        <f t="shared" si="60"/>
        <v>P.L. 116-260</v>
      </c>
      <c r="D1561" s="3" t="s">
        <v>2758</v>
      </c>
      <c r="E1561" s="3" t="s">
        <v>2782</v>
      </c>
      <c r="F1561" s="3" t="s">
        <v>2889</v>
      </c>
      <c r="G1561" s="48" t="str">
        <f>HYPERLINK("https://uscode.house.gov/view.xhtml?req=granuleid:USC-prelim-title42-section16275&amp;num=0&amp;edition=prelim", "42 U.S.C. 16275")</f>
        <v>42 U.S.C. 16275</v>
      </c>
      <c r="H1561" s="46">
        <v>45930</v>
      </c>
      <c r="I1561" s="13">
        <v>2025</v>
      </c>
      <c r="J1561" s="47">
        <v>584000000</v>
      </c>
      <c r="K1561" s="16" t="s">
        <v>62</v>
      </c>
      <c r="L1561" s="3" t="s">
        <v>60</v>
      </c>
      <c r="M1561" s="3" t="s">
        <v>48</v>
      </c>
      <c r="N1561" s="3" t="s">
        <v>58</v>
      </c>
    </row>
    <row r="1562" spans="1:14" x14ac:dyDescent="0.3">
      <c r="A1562" s="36" t="s">
        <v>37</v>
      </c>
      <c r="B1562" s="13">
        <v>116</v>
      </c>
      <c r="C1562" s="48" t="str">
        <f t="shared" si="60"/>
        <v>P.L. 116-260</v>
      </c>
      <c r="D1562" s="3" t="s">
        <v>2758</v>
      </c>
      <c r="E1562" s="3" t="s">
        <v>2890</v>
      </c>
      <c r="F1562" s="3" t="s">
        <v>2891</v>
      </c>
      <c r="G1562" s="48" t="str">
        <f>HYPERLINK("https://uscode.house.gov/view.xhtml?req=granuleid:USC-prelim-title42-section18645&amp;num=0&amp;edition=prelim", "42 U.S.C. 18645(o)")</f>
        <v>42 U.S.C. 18645(o)</v>
      </c>
      <c r="H1562" s="46">
        <v>45930</v>
      </c>
      <c r="I1562" s="13">
        <v>2025</v>
      </c>
      <c r="J1562" s="47">
        <v>901000000</v>
      </c>
      <c r="K1562" s="16" t="s">
        <v>62</v>
      </c>
      <c r="L1562" s="3" t="s">
        <v>60</v>
      </c>
      <c r="M1562" s="3" t="s">
        <v>48</v>
      </c>
      <c r="N1562" s="3" t="s">
        <v>58</v>
      </c>
    </row>
    <row r="1563" spans="1:14" x14ac:dyDescent="0.3">
      <c r="A1563" s="36" t="s">
        <v>37</v>
      </c>
      <c r="B1563" s="13">
        <v>116</v>
      </c>
      <c r="C1563" s="48" t="str">
        <f t="shared" si="60"/>
        <v>P.L. 116-260</v>
      </c>
      <c r="D1563" s="3" t="s">
        <v>2758</v>
      </c>
      <c r="E1563" s="3" t="s">
        <v>2892</v>
      </c>
      <c r="F1563" s="3" t="s">
        <v>2893</v>
      </c>
      <c r="G1563" s="48" t="str">
        <f>HYPERLINK("https://uscode.house.gov/view.xhtml?req=granuleid:USC-prelim-title42-section17211&amp;num=0&amp;edition=prelim", "42 U.S.C. 17211")</f>
        <v>42 U.S.C. 17211</v>
      </c>
      <c r="H1563" s="46">
        <v>45930</v>
      </c>
      <c r="I1563" s="13">
        <v>2025</v>
      </c>
      <c r="J1563" s="47">
        <v>186600000</v>
      </c>
      <c r="K1563" s="16" t="s">
        <v>62</v>
      </c>
      <c r="L1563" s="3" t="s">
        <v>60</v>
      </c>
      <c r="M1563" s="3" t="s">
        <v>48</v>
      </c>
      <c r="N1563" s="3" t="s">
        <v>58</v>
      </c>
    </row>
    <row r="1564" spans="1:14" x14ac:dyDescent="0.3">
      <c r="A1564" s="36" t="s">
        <v>37</v>
      </c>
      <c r="B1564" s="13">
        <v>116</v>
      </c>
      <c r="C1564" s="48" t="str">
        <f t="shared" si="60"/>
        <v>P.L. 116-260</v>
      </c>
      <c r="D1564" s="3" t="s">
        <v>2758</v>
      </c>
      <c r="E1564" s="3" t="s">
        <v>2892</v>
      </c>
      <c r="F1564" s="3" t="s">
        <v>2894</v>
      </c>
      <c r="G1564" s="48" t="str">
        <f>HYPERLINK("https://uscode.house.gov/view.xhtml?req=granuleid:USC-prelim-title42-section17202&amp;num=0&amp;edition=prelim", "42 U.S.C. 17202")</f>
        <v>42 U.S.C. 17202</v>
      </c>
      <c r="H1564" s="46">
        <v>45930</v>
      </c>
      <c r="I1564" s="13">
        <v>2025</v>
      </c>
      <c r="J1564" s="47">
        <v>170000000</v>
      </c>
      <c r="K1564" s="16" t="s">
        <v>62</v>
      </c>
      <c r="L1564" s="3" t="s">
        <v>60</v>
      </c>
      <c r="M1564" s="3" t="s">
        <v>48</v>
      </c>
      <c r="N1564" s="3" t="s">
        <v>58</v>
      </c>
    </row>
    <row r="1565" spans="1:14" x14ac:dyDescent="0.3">
      <c r="A1565" s="36" t="s">
        <v>37</v>
      </c>
      <c r="B1565" s="13">
        <v>116</v>
      </c>
      <c r="C1565" s="48" t="str">
        <f t="shared" si="60"/>
        <v>P.L. 116-260</v>
      </c>
      <c r="D1565" s="3" t="s">
        <v>2758</v>
      </c>
      <c r="E1565" s="3" t="s">
        <v>2895</v>
      </c>
      <c r="F1565" s="3" t="s">
        <v>2896</v>
      </c>
      <c r="G1565" s="48" t="str">
        <f>HYPERLINK("https://uscode.house.gov/view.xhtml?req=granuleid:USC-prelim-title42-section16237&amp;num=0&amp;edition=prelim", "42 U.S.C. 16237(b)(7)")</f>
        <v>42 U.S.C. 16237(b)(7)</v>
      </c>
      <c r="H1565" s="46">
        <v>45930</v>
      </c>
      <c r="I1565" s="13">
        <v>2025</v>
      </c>
      <c r="J1565" s="47">
        <v>125000000</v>
      </c>
      <c r="K1565" s="16" t="s">
        <v>62</v>
      </c>
      <c r="L1565" s="3" t="s">
        <v>60</v>
      </c>
      <c r="M1565" s="3" t="s">
        <v>48</v>
      </c>
      <c r="N1565" s="3" t="s">
        <v>58</v>
      </c>
    </row>
    <row r="1566" spans="1:14" x14ac:dyDescent="0.3">
      <c r="A1566" s="36" t="s">
        <v>37</v>
      </c>
      <c r="B1566" s="13">
        <v>116</v>
      </c>
      <c r="C1566" s="48" t="str">
        <f t="shared" si="60"/>
        <v>P.L. 116-260</v>
      </c>
      <c r="D1566" s="3" t="s">
        <v>2758</v>
      </c>
      <c r="E1566" s="3" t="s">
        <v>2897</v>
      </c>
      <c r="F1566" s="3" t="s">
        <v>2898</v>
      </c>
      <c r="G1566" s="48" t="str">
        <f>HYPERLINK("https://uscode.house.gov/view.xhtml?req=granuleid:USC-prelim-title42-section16238&amp;num=0&amp;edition=prelim", "42 U.S.C. 16238(b)(7)")</f>
        <v>42 U.S.C. 16238(b)(7)</v>
      </c>
      <c r="H1566" s="46">
        <v>45930</v>
      </c>
      <c r="I1566" s="13">
        <v>2025</v>
      </c>
      <c r="J1566" s="47">
        <v>300000000</v>
      </c>
      <c r="K1566" s="16" t="s">
        <v>62</v>
      </c>
      <c r="L1566" s="3" t="s">
        <v>60</v>
      </c>
      <c r="M1566" s="3" t="s">
        <v>48</v>
      </c>
      <c r="N1566" s="3" t="s">
        <v>58</v>
      </c>
    </row>
    <row r="1567" spans="1:14" x14ac:dyDescent="0.3">
      <c r="A1567" s="36" t="s">
        <v>37</v>
      </c>
      <c r="B1567" s="13">
        <v>116</v>
      </c>
      <c r="C1567" s="48" t="str">
        <f t="shared" si="60"/>
        <v>P.L. 116-260</v>
      </c>
      <c r="D1567" s="3" t="s">
        <v>2758</v>
      </c>
      <c r="E1567" s="3" t="s">
        <v>2899</v>
      </c>
      <c r="F1567" s="3" t="s">
        <v>2900</v>
      </c>
      <c r="G1567" s="49"/>
      <c r="H1567" s="46">
        <v>45930</v>
      </c>
      <c r="I1567" s="13">
        <v>2025</v>
      </c>
      <c r="J1567" s="47">
        <v>100000000</v>
      </c>
      <c r="K1567" s="16" t="s">
        <v>62</v>
      </c>
      <c r="L1567" s="3" t="s">
        <v>60</v>
      </c>
      <c r="M1567" s="3" t="s">
        <v>48</v>
      </c>
      <c r="N1567" s="3" t="s">
        <v>58</v>
      </c>
    </row>
    <row r="1568" spans="1:14" x14ac:dyDescent="0.3">
      <c r="A1568" s="36" t="s">
        <v>37</v>
      </c>
      <c r="B1568" s="13">
        <v>116</v>
      </c>
      <c r="C1568" s="48" t="str">
        <f t="shared" si="60"/>
        <v>P.L. 116-260</v>
      </c>
      <c r="D1568" s="3" t="s">
        <v>2758</v>
      </c>
      <c r="E1568" s="3" t="s">
        <v>2901</v>
      </c>
      <c r="F1568" s="3" t="s">
        <v>2902</v>
      </c>
      <c r="G1568" s="48" t="str">
        <f>HYPERLINK("https://uscode.house.gov/view.xhtml?req=granuleid:USC-prelim-title42-section17232&amp;num=0&amp;edition=prelim", "42 U.S.C. 17232(g)(2)")</f>
        <v>42 U.S.C. 17232(g)(2)</v>
      </c>
      <c r="H1568" s="46">
        <v>45930</v>
      </c>
      <c r="I1568" s="13">
        <v>2025</v>
      </c>
      <c r="J1568" s="47">
        <v>71000000</v>
      </c>
      <c r="K1568" s="16" t="s">
        <v>62</v>
      </c>
      <c r="L1568" s="3" t="s">
        <v>60</v>
      </c>
      <c r="M1568" s="3" t="s">
        <v>48</v>
      </c>
      <c r="N1568" s="3" t="s">
        <v>58</v>
      </c>
    </row>
    <row r="1569" spans="1:14" x14ac:dyDescent="0.3">
      <c r="A1569" s="36" t="s">
        <v>37</v>
      </c>
      <c r="B1569" s="13">
        <v>116</v>
      </c>
      <c r="C1569" s="48" t="str">
        <f t="shared" si="60"/>
        <v>P.L. 116-260</v>
      </c>
      <c r="D1569" s="3" t="s">
        <v>2758</v>
      </c>
      <c r="E1569" s="3" t="s">
        <v>2903</v>
      </c>
      <c r="F1569" s="3" t="s">
        <v>2904</v>
      </c>
      <c r="G1569" s="48" t="str">
        <f>HYPERLINK("https://uscode.house.gov/view.xhtml?req=granuleid:USC-prelim-title42-section17232&amp;num=0&amp;edition=prelim", "42 U.S.C. 17232(g)(3)")</f>
        <v>42 U.S.C. 17232(g)(3)</v>
      </c>
      <c r="H1569" s="46">
        <v>45930</v>
      </c>
      <c r="I1569" s="13">
        <v>2025</v>
      </c>
      <c r="J1569" s="47">
        <v>30000000</v>
      </c>
      <c r="K1569" s="16" t="s">
        <v>62</v>
      </c>
      <c r="L1569" s="3" t="s">
        <v>60</v>
      </c>
      <c r="M1569" s="3" t="s">
        <v>48</v>
      </c>
      <c r="N1569" s="3" t="s">
        <v>58</v>
      </c>
    </row>
    <row r="1570" spans="1:14" x14ac:dyDescent="0.3">
      <c r="A1570" s="36" t="s">
        <v>37</v>
      </c>
      <c r="B1570" s="13">
        <v>116</v>
      </c>
      <c r="C1570" s="48" t="str">
        <f t="shared" si="60"/>
        <v>P.L. 116-260</v>
      </c>
      <c r="D1570" s="3" t="s">
        <v>2758</v>
      </c>
      <c r="E1570" s="3" t="s">
        <v>2905</v>
      </c>
      <c r="F1570" s="3" t="s">
        <v>2906</v>
      </c>
      <c r="G1570" s="49"/>
      <c r="H1570" s="46">
        <v>45930</v>
      </c>
      <c r="I1570" s="13">
        <v>2025</v>
      </c>
      <c r="J1570" s="47">
        <v>15000000</v>
      </c>
      <c r="K1570" s="16" t="s">
        <v>62</v>
      </c>
      <c r="L1570" s="3" t="s">
        <v>60</v>
      </c>
      <c r="M1570" s="3" t="s">
        <v>48</v>
      </c>
      <c r="N1570" s="3" t="s">
        <v>58</v>
      </c>
    </row>
    <row r="1571" spans="1:14" x14ac:dyDescent="0.3">
      <c r="A1571" s="36" t="s">
        <v>37</v>
      </c>
      <c r="B1571" s="13">
        <v>116</v>
      </c>
      <c r="C1571" s="48" t="str">
        <f t="shared" si="60"/>
        <v>P.L. 116-260</v>
      </c>
      <c r="D1571" s="3" t="s">
        <v>2758</v>
      </c>
      <c r="E1571" s="3" t="s">
        <v>2907</v>
      </c>
      <c r="F1571" s="3" t="s">
        <v>2908</v>
      </c>
      <c r="G1571" s="48" t="str">
        <f>HYPERLINK("https://uscode.house.gov/view.xhtml?req=granuleid:USC-prelim-title42-section16292&amp;num=0&amp;edition=prelim", "42 U.S.C. 16292")</f>
        <v>42 U.S.C. 16292</v>
      </c>
      <c r="H1571" s="46">
        <v>45930</v>
      </c>
      <c r="I1571" s="13">
        <v>2025</v>
      </c>
      <c r="J1571" s="47">
        <v>150000000</v>
      </c>
      <c r="K1571" s="16" t="s">
        <v>62</v>
      </c>
      <c r="L1571" s="3" t="s">
        <v>60</v>
      </c>
      <c r="M1571" s="3" t="s">
        <v>48</v>
      </c>
      <c r="N1571" s="3" t="s">
        <v>58</v>
      </c>
    </row>
    <row r="1572" spans="1:14" x14ac:dyDescent="0.3">
      <c r="A1572" s="36" t="s">
        <v>37</v>
      </c>
      <c r="B1572" s="13">
        <v>116</v>
      </c>
      <c r="C1572" s="48" t="str">
        <f t="shared" ref="C1572:C1594" si="61">HYPERLINK("https://uscode.house.gov/statutes/pl/116/260.pdf", "P.L. 116-260")</f>
        <v>P.L. 116-260</v>
      </c>
      <c r="D1572" s="3" t="s">
        <v>2758</v>
      </c>
      <c r="E1572" s="3" t="s">
        <v>2907</v>
      </c>
      <c r="F1572" s="3" t="s">
        <v>2909</v>
      </c>
      <c r="G1572" s="48" t="str">
        <f>HYPERLINK("https://uscode.house.gov/view.xhtml?req=granuleid:USC-prelim-title42-section16292&amp;num=0&amp;edition=prelim", "42 U.S.C. 16292(d)((1)(B))")</f>
        <v>42 U.S.C. 16292(d)((1)(B))</v>
      </c>
      <c r="H1572" s="46">
        <v>45930</v>
      </c>
      <c r="I1572" s="13">
        <v>2025</v>
      </c>
      <c r="J1572" s="47">
        <v>150000000</v>
      </c>
      <c r="K1572" s="16" t="s">
        <v>62</v>
      </c>
      <c r="L1572" s="3" t="s">
        <v>60</v>
      </c>
      <c r="M1572" s="3" t="s">
        <v>48</v>
      </c>
      <c r="N1572" s="3" t="s">
        <v>58</v>
      </c>
    </row>
    <row r="1573" spans="1:14" x14ac:dyDescent="0.3">
      <c r="A1573" s="36" t="s">
        <v>37</v>
      </c>
      <c r="B1573" s="13">
        <v>116</v>
      </c>
      <c r="C1573" s="48" t="str">
        <f t="shared" si="61"/>
        <v>P.L. 116-260</v>
      </c>
      <c r="D1573" s="3" t="s">
        <v>2758</v>
      </c>
      <c r="E1573" s="3" t="s">
        <v>2907</v>
      </c>
      <c r="F1573" s="3" t="s">
        <v>2910</v>
      </c>
      <c r="G1573" s="48" t="str">
        <f>HYPERLINK("https://uscode.house.gov/view.xhtml?req=granuleid:USC-prelim-title42-section16292&amp;num=0&amp;edition=prelim", "42 U.S.C. 16292(d)((1)(C))")</f>
        <v>42 U.S.C. 16292(d)((1)(C))</v>
      </c>
      <c r="H1573" s="46">
        <v>45930</v>
      </c>
      <c r="I1573" s="13">
        <v>2025</v>
      </c>
      <c r="J1573" s="47">
        <v>600000000</v>
      </c>
      <c r="K1573" s="16" t="s">
        <v>62</v>
      </c>
      <c r="L1573" s="3" t="s">
        <v>60</v>
      </c>
      <c r="M1573" s="3" t="s">
        <v>48</v>
      </c>
      <c r="N1573" s="3" t="s">
        <v>58</v>
      </c>
    </row>
    <row r="1574" spans="1:14" x14ac:dyDescent="0.3">
      <c r="A1574" s="36" t="s">
        <v>37</v>
      </c>
      <c r="B1574" s="13">
        <v>116</v>
      </c>
      <c r="C1574" s="48" t="str">
        <f t="shared" si="61"/>
        <v>P.L. 116-260</v>
      </c>
      <c r="D1574" s="3" t="s">
        <v>2758</v>
      </c>
      <c r="E1574" s="3" t="s">
        <v>2907</v>
      </c>
      <c r="F1574" s="3" t="s">
        <v>2911</v>
      </c>
      <c r="G1574" s="48" t="str">
        <f>HYPERLINK("https://uscode.house.gov/view.xhtml?req=granuleid:USC-prelim-title42-section16292&amp;num=0&amp;edition=prelim", "42 U.S.C. 16292")</f>
        <v>42 U.S.C. 16292</v>
      </c>
      <c r="H1574" s="46">
        <v>45565</v>
      </c>
      <c r="I1574" s="13">
        <v>2024</v>
      </c>
      <c r="J1574" s="47">
        <v>50000000</v>
      </c>
      <c r="K1574" s="16" t="s">
        <v>62</v>
      </c>
      <c r="L1574" s="3" t="s">
        <v>60</v>
      </c>
      <c r="M1574" s="3" t="s">
        <v>48</v>
      </c>
      <c r="N1574" s="3" t="s">
        <v>58</v>
      </c>
    </row>
    <row r="1575" spans="1:14" x14ac:dyDescent="0.3">
      <c r="A1575" s="36" t="s">
        <v>37</v>
      </c>
      <c r="B1575" s="13">
        <v>116</v>
      </c>
      <c r="C1575" s="48" t="str">
        <f t="shared" si="61"/>
        <v>P.L. 116-260</v>
      </c>
      <c r="D1575" s="3" t="s">
        <v>2758</v>
      </c>
      <c r="E1575" s="3" t="s">
        <v>2907</v>
      </c>
      <c r="F1575" s="3" t="s">
        <v>2912</v>
      </c>
      <c r="G1575" s="48" t="str">
        <f>HYPERLINK("https://uscode.house.gov/view.xhtml?req=granuleid:USC-prelim-title42-section16292&amp;num=0&amp;edition=prelim", "42 U.S.C. 16292")</f>
        <v>42 U.S.C. 16292</v>
      </c>
      <c r="H1575" s="46">
        <v>45930</v>
      </c>
      <c r="I1575" s="13">
        <v>2025</v>
      </c>
      <c r="J1575" s="47">
        <v>25000000</v>
      </c>
      <c r="K1575" s="16" t="s">
        <v>62</v>
      </c>
      <c r="L1575" s="3" t="s">
        <v>60</v>
      </c>
      <c r="M1575" s="3" t="s">
        <v>48</v>
      </c>
      <c r="N1575" s="3" t="s">
        <v>58</v>
      </c>
    </row>
    <row r="1576" spans="1:14" x14ac:dyDescent="0.3">
      <c r="A1576" s="36" t="s">
        <v>37</v>
      </c>
      <c r="B1576" s="13">
        <v>116</v>
      </c>
      <c r="C1576" s="48" t="str">
        <f t="shared" si="61"/>
        <v>P.L. 116-260</v>
      </c>
      <c r="D1576" s="3" t="s">
        <v>2758</v>
      </c>
      <c r="E1576" s="3" t="s">
        <v>2913</v>
      </c>
      <c r="F1576" s="3" t="s">
        <v>2914</v>
      </c>
      <c r="G1576" s="48" t="str">
        <f>HYPERLINK("https://uscode.house.gov/view.xhtml?req=granuleid:USC-prelim-title42-section16291&amp;num=0&amp;edition=prelim", "42 U.S.C. 16291")</f>
        <v>42 U.S.C. 16291</v>
      </c>
      <c r="H1576" s="46">
        <v>45930</v>
      </c>
      <c r="I1576" s="13">
        <v>2025</v>
      </c>
      <c r="J1576" s="47">
        <v>50000000</v>
      </c>
      <c r="K1576" s="16" t="s">
        <v>62</v>
      </c>
      <c r="L1576" s="3" t="s">
        <v>60</v>
      </c>
      <c r="M1576" s="3" t="s">
        <v>48</v>
      </c>
      <c r="N1576" s="3" t="s">
        <v>58</v>
      </c>
    </row>
    <row r="1577" spans="1:14" x14ac:dyDescent="0.3">
      <c r="A1577" s="36" t="s">
        <v>37</v>
      </c>
      <c r="B1577" s="13">
        <v>116</v>
      </c>
      <c r="C1577" s="48" t="str">
        <f t="shared" si="61"/>
        <v>P.L. 116-260</v>
      </c>
      <c r="D1577" s="3" t="s">
        <v>2758</v>
      </c>
      <c r="E1577" s="3" t="s">
        <v>2915</v>
      </c>
      <c r="F1577" s="3" t="s">
        <v>2916</v>
      </c>
      <c r="G1577" s="49"/>
      <c r="H1577" s="46">
        <v>45930</v>
      </c>
      <c r="I1577" s="13">
        <v>2025</v>
      </c>
      <c r="J1577" s="47">
        <v>10000000</v>
      </c>
      <c r="K1577" s="16" t="s">
        <v>62</v>
      </c>
      <c r="L1577" s="3" t="s">
        <v>60</v>
      </c>
      <c r="M1577" s="3" t="s">
        <v>48</v>
      </c>
      <c r="N1577" s="3" t="s">
        <v>58</v>
      </c>
    </row>
    <row r="1578" spans="1:14" x14ac:dyDescent="0.3">
      <c r="A1578" s="36" t="s">
        <v>37</v>
      </c>
      <c r="B1578" s="13">
        <v>116</v>
      </c>
      <c r="C1578" s="48" t="str">
        <f t="shared" si="61"/>
        <v>P.L. 116-260</v>
      </c>
      <c r="D1578" s="3" t="s">
        <v>2758</v>
      </c>
      <c r="E1578" s="3" t="s">
        <v>2917</v>
      </c>
      <c r="F1578" s="3" t="s">
        <v>2918</v>
      </c>
      <c r="G1578" s="48" t="str">
        <f>HYPERLINK("https://uscode.house.gov/view.xhtml?req=granuleid:USC-prelim-title42-section16291&amp;num=0&amp;edition=prelim", "42 U.S.C. 16291")</f>
        <v>42 U.S.C. 16291</v>
      </c>
      <c r="H1578" s="46">
        <v>45930</v>
      </c>
      <c r="I1578" s="13">
        <v>2025</v>
      </c>
      <c r="J1578" s="47">
        <v>72930000</v>
      </c>
      <c r="K1578" s="16" t="s">
        <v>62</v>
      </c>
      <c r="L1578" s="3" t="s">
        <v>60</v>
      </c>
      <c r="M1578" s="3" t="s">
        <v>48</v>
      </c>
      <c r="N1578" s="3" t="s">
        <v>58</v>
      </c>
    </row>
    <row r="1579" spans="1:14" x14ac:dyDescent="0.3">
      <c r="A1579" s="36" t="s">
        <v>37</v>
      </c>
      <c r="B1579" s="13">
        <v>116</v>
      </c>
      <c r="C1579" s="48" t="str">
        <f t="shared" si="61"/>
        <v>P.L. 116-260</v>
      </c>
      <c r="D1579" s="3" t="s">
        <v>2758</v>
      </c>
      <c r="E1579" s="3" t="s">
        <v>2919</v>
      </c>
      <c r="F1579" s="3" t="s">
        <v>2920</v>
      </c>
      <c r="G1579" s="48" t="str">
        <f>HYPERLINK("https://uscode.house.gov/view.xhtml?req=granuleid:USC-prelim-title42-section17113&amp;num=0&amp;edition=prelim", "42 U.S.C. 17113(e)")</f>
        <v>42 U.S.C. 17113(e)</v>
      </c>
      <c r="H1579" s="46">
        <v>45930</v>
      </c>
      <c r="I1579" s="13">
        <v>2025</v>
      </c>
      <c r="J1579" s="47">
        <v>150000000</v>
      </c>
      <c r="K1579" s="16" t="s">
        <v>62</v>
      </c>
      <c r="L1579" s="3" t="s">
        <v>60</v>
      </c>
      <c r="M1579" s="3" t="s">
        <v>48</v>
      </c>
      <c r="N1579" s="3" t="s">
        <v>58</v>
      </c>
    </row>
    <row r="1580" spans="1:14" x14ac:dyDescent="0.3">
      <c r="A1580" s="36" t="s">
        <v>37</v>
      </c>
      <c r="B1580" s="13">
        <v>116</v>
      </c>
      <c r="C1580" s="48" t="str">
        <f t="shared" si="61"/>
        <v>P.L. 116-260</v>
      </c>
      <c r="D1580" s="3" t="s">
        <v>2758</v>
      </c>
      <c r="E1580" s="3" t="s">
        <v>2921</v>
      </c>
      <c r="F1580" s="3" t="s">
        <v>2922</v>
      </c>
      <c r="G1580" s="48" t="str">
        <f>HYPERLINK("https://uscode.house.gov/view.xhtml?req=granuleid:USC-prelim-title30-section1606&amp;num=0&amp;edition=prelim", "30 U.S.C. 1606(g)(10)")</f>
        <v>30 U.S.C. 1606(g)(10)</v>
      </c>
      <c r="H1580" s="46">
        <v>45930</v>
      </c>
      <c r="I1580" s="13">
        <v>2025</v>
      </c>
      <c r="J1580" s="47">
        <v>135000000</v>
      </c>
      <c r="K1580" s="16" t="s">
        <v>62</v>
      </c>
      <c r="L1580" s="3" t="s">
        <v>60</v>
      </c>
      <c r="M1580" s="3" t="s">
        <v>48</v>
      </c>
      <c r="N1580" s="3" t="s">
        <v>58</v>
      </c>
    </row>
    <row r="1581" spans="1:14" x14ac:dyDescent="0.3">
      <c r="A1581" s="36" t="s">
        <v>37</v>
      </c>
      <c r="B1581" s="13">
        <v>116</v>
      </c>
      <c r="C1581" s="48" t="str">
        <f t="shared" si="61"/>
        <v>P.L. 116-260</v>
      </c>
      <c r="D1581" s="3" t="s">
        <v>2758</v>
      </c>
      <c r="E1581" s="3" t="s">
        <v>2923</v>
      </c>
      <c r="F1581" s="3" t="s">
        <v>2924</v>
      </c>
      <c r="G1581" s="48" t="str">
        <f>HYPERLINK("https://uscode.house.gov/view.xhtml?req=granuleid:USC-prelim-title30-section1606&amp;num=0&amp;edition=prelim", "30 U.S.C. 1606(h)(3)")</f>
        <v>30 U.S.C. 1606(h)(3)</v>
      </c>
      <c r="H1581" s="46">
        <v>45199</v>
      </c>
      <c r="I1581" s="13">
        <v>2023</v>
      </c>
      <c r="J1581" s="47">
        <v>35000000</v>
      </c>
      <c r="K1581" s="16" t="s">
        <v>62</v>
      </c>
      <c r="L1581" s="3" t="s">
        <v>60</v>
      </c>
      <c r="M1581" s="3" t="s">
        <v>48</v>
      </c>
      <c r="N1581" s="3" t="s">
        <v>58</v>
      </c>
    </row>
    <row r="1582" spans="1:14" x14ac:dyDescent="0.3">
      <c r="A1582" s="36" t="s">
        <v>37</v>
      </c>
      <c r="B1582" s="13">
        <v>116</v>
      </c>
      <c r="C1582" s="48" t="str">
        <f t="shared" si="61"/>
        <v>P.L. 116-260</v>
      </c>
      <c r="D1582" s="3" t="s">
        <v>2758</v>
      </c>
      <c r="E1582" s="3" t="s">
        <v>2925</v>
      </c>
      <c r="F1582" s="3" t="s">
        <v>2926</v>
      </c>
      <c r="G1582" s="48" t="str">
        <f>HYPERLINK("https://uscode.house.gov/view.xhtml?req=granuleid:USC-prelim-title42-section15908&amp;num=0&amp;edition=prelim", "42 U.S.C. 15908(k)")</f>
        <v>42 U.S.C. 15908(k)</v>
      </c>
      <c r="H1582" s="46">
        <v>47391</v>
      </c>
      <c r="I1582" s="13">
        <v>2029</v>
      </c>
      <c r="J1582" s="47">
        <v>5000000</v>
      </c>
      <c r="K1582" s="16" t="s">
        <v>62</v>
      </c>
      <c r="L1582" s="3" t="s">
        <v>47</v>
      </c>
      <c r="M1582" s="3" t="s">
        <v>48</v>
      </c>
      <c r="N1582" s="3" t="s">
        <v>58</v>
      </c>
    </row>
    <row r="1583" spans="1:14" x14ac:dyDescent="0.3">
      <c r="A1583" s="36" t="s">
        <v>37</v>
      </c>
      <c r="B1583" s="13">
        <v>116</v>
      </c>
      <c r="C1583" s="48" t="str">
        <f t="shared" si="61"/>
        <v>P.L. 116-260</v>
      </c>
      <c r="D1583" s="3" t="s">
        <v>2758</v>
      </c>
      <c r="E1583" s="3" t="s">
        <v>2927</v>
      </c>
      <c r="F1583" s="3" t="s">
        <v>2928</v>
      </c>
      <c r="G1583" s="49"/>
      <c r="H1583" s="46">
        <v>47391</v>
      </c>
      <c r="I1583" s="13">
        <v>2029</v>
      </c>
      <c r="J1583" s="47">
        <v>50000000</v>
      </c>
      <c r="K1583" s="16" t="s">
        <v>62</v>
      </c>
      <c r="L1583" s="3" t="s">
        <v>47</v>
      </c>
      <c r="M1583" s="3" t="s">
        <v>48</v>
      </c>
      <c r="N1583" s="3" t="s">
        <v>58</v>
      </c>
    </row>
    <row r="1584" spans="1:14" x14ac:dyDescent="0.3">
      <c r="A1584" s="36" t="s">
        <v>37</v>
      </c>
      <c r="B1584" s="13">
        <v>116</v>
      </c>
      <c r="C1584" s="48" t="str">
        <f t="shared" si="61"/>
        <v>P.L. 116-260</v>
      </c>
      <c r="D1584" s="3" t="s">
        <v>2758</v>
      </c>
      <c r="E1584" s="3" t="s">
        <v>2929</v>
      </c>
      <c r="F1584" s="3" t="s">
        <v>2930</v>
      </c>
      <c r="G1584" s="49"/>
      <c r="H1584" s="46">
        <v>45930</v>
      </c>
      <c r="I1584" s="13">
        <v>2025</v>
      </c>
      <c r="J1584" s="47">
        <v>199500000</v>
      </c>
      <c r="K1584" s="16" t="s">
        <v>62</v>
      </c>
      <c r="L1584" s="3" t="s">
        <v>60</v>
      </c>
      <c r="M1584" s="3" t="s">
        <v>48</v>
      </c>
      <c r="N1584" s="3" t="s">
        <v>58</v>
      </c>
    </row>
    <row r="1585" spans="1:14" x14ac:dyDescent="0.3">
      <c r="A1585" s="36" t="s">
        <v>37</v>
      </c>
      <c r="B1585" s="13">
        <v>116</v>
      </c>
      <c r="C1585" s="48" t="str">
        <f t="shared" si="61"/>
        <v>P.L. 116-260</v>
      </c>
      <c r="D1585" s="3" t="s">
        <v>2758</v>
      </c>
      <c r="E1585" s="3" t="s">
        <v>2931</v>
      </c>
      <c r="F1585" s="3" t="s">
        <v>2932</v>
      </c>
      <c r="G1585" s="49"/>
      <c r="H1585" s="46">
        <v>45930</v>
      </c>
      <c r="I1585" s="13">
        <v>2025</v>
      </c>
      <c r="J1585" s="47">
        <v>175000000</v>
      </c>
      <c r="K1585" s="16" t="s">
        <v>62</v>
      </c>
      <c r="L1585" s="3" t="s">
        <v>60</v>
      </c>
      <c r="M1585" s="3" t="s">
        <v>48</v>
      </c>
      <c r="N1585" s="3" t="s">
        <v>58</v>
      </c>
    </row>
    <row r="1586" spans="1:14" x14ac:dyDescent="0.3">
      <c r="A1586" s="36" t="s">
        <v>37</v>
      </c>
      <c r="B1586" s="13">
        <v>116</v>
      </c>
      <c r="C1586" s="48" t="str">
        <f t="shared" si="61"/>
        <v>P.L. 116-260</v>
      </c>
      <c r="D1586" s="3" t="s">
        <v>2758</v>
      </c>
      <c r="E1586" s="3" t="s">
        <v>2933</v>
      </c>
      <c r="F1586" s="3" t="s">
        <v>2934</v>
      </c>
      <c r="G1586" s="48" t="str">
        <f>HYPERLINK("https://uscode.house.gov/view.xhtml?req=granuleid:USC-prelim-title42-section17381&amp;num=0&amp;edition=prelim", "42 U.S.C. 17381")</f>
        <v>42 U.S.C. 17381</v>
      </c>
      <c r="H1586" s="46">
        <v>45930</v>
      </c>
      <c r="I1586" s="13">
        <v>2025</v>
      </c>
      <c r="J1586" s="47">
        <v>25525000</v>
      </c>
      <c r="K1586" s="16" t="s">
        <v>62</v>
      </c>
      <c r="L1586" s="3" t="s">
        <v>60</v>
      </c>
      <c r="M1586" s="3" t="s">
        <v>48</v>
      </c>
      <c r="N1586" s="3" t="s">
        <v>58</v>
      </c>
    </row>
    <row r="1587" spans="1:14" x14ac:dyDescent="0.3">
      <c r="A1587" s="36" t="s">
        <v>37</v>
      </c>
      <c r="B1587" s="13">
        <v>116</v>
      </c>
      <c r="C1587" s="48" t="str">
        <f t="shared" si="61"/>
        <v>P.L. 116-260</v>
      </c>
      <c r="D1587" s="3" t="s">
        <v>2758</v>
      </c>
      <c r="E1587" s="3" t="s">
        <v>2935</v>
      </c>
      <c r="F1587" s="3" t="s">
        <v>2936</v>
      </c>
      <c r="G1587" s="49"/>
      <c r="H1587" s="46">
        <v>45930</v>
      </c>
      <c r="I1587" s="13">
        <v>2025</v>
      </c>
      <c r="J1587" s="47">
        <v>63814000</v>
      </c>
      <c r="K1587" s="16" t="s">
        <v>62</v>
      </c>
      <c r="L1587" s="3" t="s">
        <v>60</v>
      </c>
      <c r="M1587" s="3" t="s">
        <v>48</v>
      </c>
      <c r="N1587" s="3" t="s">
        <v>58</v>
      </c>
    </row>
    <row r="1588" spans="1:14" x14ac:dyDescent="0.3">
      <c r="A1588" s="36" t="s">
        <v>37</v>
      </c>
      <c r="B1588" s="13">
        <v>116</v>
      </c>
      <c r="C1588" s="48" t="str">
        <f t="shared" si="61"/>
        <v>P.L. 116-260</v>
      </c>
      <c r="D1588" s="3" t="s">
        <v>2758</v>
      </c>
      <c r="E1588" s="3" t="s">
        <v>2937</v>
      </c>
      <c r="F1588" s="3" t="s">
        <v>2938</v>
      </c>
      <c r="G1588" s="48" t="str">
        <f>HYPERLINK("https://uscode.house.gov/view.xhtml?req=granuleid:USC-prelim-title25-section3502&amp;num=0&amp;edition=prelim", "25 U.S.C. 3502(b)(7)")</f>
        <v>25 U.S.C. 3502(b)(7)</v>
      </c>
      <c r="H1588" s="46">
        <v>45930</v>
      </c>
      <c r="I1588" s="13">
        <v>2025</v>
      </c>
      <c r="J1588" s="47">
        <v>30000000</v>
      </c>
      <c r="K1588" s="16" t="s">
        <v>62</v>
      </c>
      <c r="L1588" s="3" t="s">
        <v>60</v>
      </c>
      <c r="M1588" s="3" t="s">
        <v>48</v>
      </c>
      <c r="N1588" s="3" t="s">
        <v>58</v>
      </c>
    </row>
    <row r="1589" spans="1:14" x14ac:dyDescent="0.3">
      <c r="A1589" s="36" t="s">
        <v>37</v>
      </c>
      <c r="B1589" s="13">
        <v>116</v>
      </c>
      <c r="C1589" s="48" t="str">
        <f t="shared" si="61"/>
        <v>P.L. 116-260</v>
      </c>
      <c r="D1589" s="3" t="s">
        <v>2758</v>
      </c>
      <c r="E1589" s="3" t="s">
        <v>2939</v>
      </c>
      <c r="F1589" s="3" t="s">
        <v>2940</v>
      </c>
      <c r="G1589" s="49"/>
      <c r="H1589" s="46">
        <v>44469</v>
      </c>
      <c r="I1589" s="13">
        <v>2021</v>
      </c>
      <c r="J1589" s="47">
        <v>27000000</v>
      </c>
      <c r="K1589" s="16" t="s">
        <v>62</v>
      </c>
      <c r="L1589" s="3" t="s">
        <v>265</v>
      </c>
      <c r="M1589" s="3" t="s">
        <v>266</v>
      </c>
      <c r="N1589" s="3" t="s">
        <v>267</v>
      </c>
    </row>
    <row r="1590" spans="1:14" x14ac:dyDescent="0.3">
      <c r="A1590" s="36" t="s">
        <v>37</v>
      </c>
      <c r="B1590" s="13">
        <v>116</v>
      </c>
      <c r="C1590" s="48" t="str">
        <f t="shared" si="61"/>
        <v>P.L. 116-260</v>
      </c>
      <c r="D1590" s="3" t="s">
        <v>2758</v>
      </c>
      <c r="E1590" s="3" t="s">
        <v>2941</v>
      </c>
      <c r="F1590" s="3" t="s">
        <v>2942</v>
      </c>
      <c r="G1590" s="49"/>
      <c r="H1590" s="46">
        <v>45930</v>
      </c>
      <c r="I1590" s="13">
        <v>2025</v>
      </c>
      <c r="J1590" s="47">
        <v>15000000</v>
      </c>
      <c r="K1590" s="16" t="s">
        <v>62</v>
      </c>
      <c r="L1590" s="3" t="s">
        <v>60</v>
      </c>
      <c r="M1590" s="3" t="s">
        <v>48</v>
      </c>
      <c r="N1590" s="3" t="s">
        <v>58</v>
      </c>
    </row>
    <row r="1591" spans="1:14" x14ac:dyDescent="0.3">
      <c r="A1591" s="36" t="s">
        <v>37</v>
      </c>
      <c r="B1591" s="13">
        <v>116</v>
      </c>
      <c r="C1591" s="48" t="str">
        <f t="shared" si="61"/>
        <v>P.L. 116-260</v>
      </c>
      <c r="D1591" s="3" t="s">
        <v>2758</v>
      </c>
      <c r="E1591" s="3" t="s">
        <v>2943</v>
      </c>
      <c r="F1591" s="3" t="s">
        <v>2944</v>
      </c>
      <c r="G1591" s="49"/>
      <c r="H1591" s="46">
        <v>45199</v>
      </c>
      <c r="I1591" s="13">
        <v>2023</v>
      </c>
      <c r="J1591" s="47">
        <v>880000000</v>
      </c>
      <c r="K1591" s="16" t="s">
        <v>62</v>
      </c>
      <c r="L1591" s="3" t="s">
        <v>60</v>
      </c>
      <c r="M1591" s="3" t="s">
        <v>48</v>
      </c>
      <c r="N1591" s="3" t="s">
        <v>58</v>
      </c>
    </row>
    <row r="1592" spans="1:14" x14ac:dyDescent="0.3">
      <c r="A1592" s="36" t="s">
        <v>37</v>
      </c>
      <c r="B1592" s="13">
        <v>116</v>
      </c>
      <c r="C1592" s="48" t="str">
        <f t="shared" si="61"/>
        <v>P.L. 116-260</v>
      </c>
      <c r="D1592" s="3" t="s">
        <v>2758</v>
      </c>
      <c r="E1592" s="3" t="s">
        <v>2945</v>
      </c>
      <c r="F1592" s="3" t="s">
        <v>2946</v>
      </c>
      <c r="G1592" s="48" t="str">
        <f>HYPERLINK("https://uscode.house.gov/view.xhtml?req=granuleid:USC-prelim-title42-section16514&amp;num=0&amp;edition=prelim", "42 U.S.C. 16514")</f>
        <v>42 U.S.C. 16514</v>
      </c>
      <c r="H1592" s="46">
        <v>45930</v>
      </c>
      <c r="I1592" s="13">
        <v>2025</v>
      </c>
      <c r="J1592" s="47">
        <v>32000000</v>
      </c>
      <c r="K1592" s="16" t="s">
        <v>62</v>
      </c>
      <c r="L1592" s="3" t="s">
        <v>60</v>
      </c>
      <c r="M1592" s="3" t="s">
        <v>48</v>
      </c>
      <c r="N1592" s="3" t="s">
        <v>58</v>
      </c>
    </row>
    <row r="1593" spans="1:14" x14ac:dyDescent="0.3">
      <c r="A1593" s="36" t="s">
        <v>37</v>
      </c>
      <c r="B1593" s="13">
        <v>116</v>
      </c>
      <c r="C1593" s="48" t="str">
        <f t="shared" si="61"/>
        <v>P.L. 116-260</v>
      </c>
      <c r="D1593" s="3" t="s">
        <v>2758</v>
      </c>
      <c r="E1593" s="3" t="s">
        <v>2947</v>
      </c>
      <c r="F1593" s="3" t="s">
        <v>2948</v>
      </c>
      <c r="G1593" s="48" t="str">
        <f>HYPERLINK("https://uscode.house.gov/view.xhtml?req=granuleid:USC-prelim-title42-section16538&amp;num=0&amp;edition=prelim", "42 U.S.C. 16538(o)")</f>
        <v>42 U.S.C. 16538(o)</v>
      </c>
      <c r="H1593" s="46">
        <v>45930</v>
      </c>
      <c r="I1593" s="13">
        <v>2025</v>
      </c>
      <c r="J1593" s="47">
        <v>761000000</v>
      </c>
      <c r="K1593" s="16" t="s">
        <v>62</v>
      </c>
      <c r="L1593" s="3" t="s">
        <v>135</v>
      </c>
      <c r="M1593" s="3" t="s">
        <v>148</v>
      </c>
      <c r="N1593" s="3" t="s">
        <v>58</v>
      </c>
    </row>
    <row r="1594" spans="1:14" x14ac:dyDescent="0.3">
      <c r="A1594" s="36" t="s">
        <v>37</v>
      </c>
      <c r="B1594" s="13">
        <v>116</v>
      </c>
      <c r="C1594" s="48" t="str">
        <f t="shared" si="61"/>
        <v>P.L. 116-260</v>
      </c>
      <c r="D1594" s="3" t="s">
        <v>2758</v>
      </c>
      <c r="E1594" s="3" t="s">
        <v>2949</v>
      </c>
      <c r="F1594" s="3" t="s">
        <v>2950</v>
      </c>
      <c r="G1594" s="48" t="str">
        <f>HYPERLINK("https://uscode.house.gov/view.xhtml?req=granuleid:USC-prelim-title25-section3502&amp;num=0&amp;edition=prelim", "25 U.S.C. 3502(b)(7)")</f>
        <v>25 U.S.C. 3502(b)(7)</v>
      </c>
      <c r="H1594" s="46">
        <v>45930</v>
      </c>
      <c r="I1594" s="13">
        <v>2025</v>
      </c>
      <c r="J1594" s="47">
        <v>30000000</v>
      </c>
      <c r="K1594" s="16" t="s">
        <v>62</v>
      </c>
      <c r="L1594" s="3" t="s">
        <v>47</v>
      </c>
      <c r="M1594" s="3" t="s">
        <v>236</v>
      </c>
      <c r="N1594" s="3" t="s">
        <v>49</v>
      </c>
    </row>
    <row r="1595" spans="1:14" x14ac:dyDescent="0.3">
      <c r="A1595" s="36" t="s">
        <v>37</v>
      </c>
      <c r="B1595" s="13">
        <v>117</v>
      </c>
      <c r="C1595" s="48" t="str">
        <f>HYPERLINK("https://uscode.house.gov/statutes/pl/117/103.pdf", "P.L. 117-103")</f>
        <v>P.L. 117-103</v>
      </c>
      <c r="D1595" s="3" t="s">
        <v>3294</v>
      </c>
      <c r="E1595" s="3" t="s">
        <v>3325</v>
      </c>
      <c r="F1595" s="3" t="s">
        <v>3326</v>
      </c>
      <c r="G1595" s="48" t="str">
        <f>HYPERLINK("https://uscode.house.gov/view.xhtml?req=granuleid:USC-prelim-title42-section280g-4&amp;num=0&amp;edition=prelim", "42 U.S.C. 280g-4")</f>
        <v>42 U.S.C. 280g-4</v>
      </c>
      <c r="H1595" s="46">
        <v>46660</v>
      </c>
      <c r="I1595" s="13">
        <v>2027</v>
      </c>
      <c r="J1595" s="47">
        <v>20000000</v>
      </c>
      <c r="K1595" s="16" t="s">
        <v>62</v>
      </c>
      <c r="L1595" s="3" t="s">
        <v>130</v>
      </c>
      <c r="M1595" s="3" t="s">
        <v>71</v>
      </c>
      <c r="N1595" s="3" t="s">
        <v>72</v>
      </c>
    </row>
    <row r="1596" spans="1:14" x14ac:dyDescent="0.3">
      <c r="A1596" s="36" t="s">
        <v>37</v>
      </c>
      <c r="B1596" s="13">
        <v>116</v>
      </c>
      <c r="C1596" s="48" t="str">
        <f>HYPERLINK("https://uscode.house.gov/statutes/pl/116/271.pdf", "P.L. 116-271")</f>
        <v>P.L. 116-271</v>
      </c>
      <c r="D1596" s="3" t="s">
        <v>2953</v>
      </c>
      <c r="E1596" s="3" t="s">
        <v>138</v>
      </c>
      <c r="F1596" s="3" t="s">
        <v>2954</v>
      </c>
      <c r="G1596" s="49"/>
      <c r="H1596" s="46">
        <v>45565</v>
      </c>
      <c r="I1596" s="13">
        <v>2024</v>
      </c>
      <c r="J1596" s="47">
        <v>46000000</v>
      </c>
      <c r="K1596" s="16" t="s">
        <v>62</v>
      </c>
      <c r="L1596" s="3" t="s">
        <v>47</v>
      </c>
      <c r="M1596" s="3" t="s">
        <v>148</v>
      </c>
      <c r="N1596" s="3" t="s">
        <v>43</v>
      </c>
    </row>
    <row r="1597" spans="1:14" x14ac:dyDescent="0.3">
      <c r="A1597" s="36" t="s">
        <v>37</v>
      </c>
      <c r="B1597" s="13">
        <v>116</v>
      </c>
      <c r="C1597" s="48" t="str">
        <f>HYPERLINK("https://uscode.house.gov/statutes/pl/116/271.pdf", "P.L. 116-271")</f>
        <v>P.L. 116-271</v>
      </c>
      <c r="D1597" s="3" t="s">
        <v>2953</v>
      </c>
      <c r="F1597" s="3" t="s">
        <v>2955</v>
      </c>
      <c r="G1597" s="48" t="str">
        <f>HYPERLINK("https://uscode.house.gov/view.xhtml?req=granuleid:USC-prelim-title33-section3610&amp;num=0&amp;edition=prelim", "33 U.S.C. 3610")</f>
        <v>33 U.S.C. 3610</v>
      </c>
      <c r="H1597" s="46">
        <v>45930</v>
      </c>
      <c r="I1597" s="13">
        <v>2025</v>
      </c>
      <c r="J1597" s="47">
        <v>56000000</v>
      </c>
      <c r="K1597" s="16" t="s">
        <v>62</v>
      </c>
      <c r="L1597" s="3" t="s">
        <v>47</v>
      </c>
      <c r="M1597" s="3" t="s">
        <v>148</v>
      </c>
      <c r="N1597" s="3" t="s">
        <v>43</v>
      </c>
    </row>
    <row r="1598" spans="1:14" x14ac:dyDescent="0.3">
      <c r="A1598" s="36" t="s">
        <v>37</v>
      </c>
      <c r="B1598" s="13">
        <v>116</v>
      </c>
      <c r="C1598" s="48" t="str">
        <f>HYPERLINK("https://uscode.house.gov/statutes/pl/116/273.pdf", "P.L. 116-273")</f>
        <v>P.L. 116-273</v>
      </c>
      <c r="D1598" s="3" t="s">
        <v>2956</v>
      </c>
      <c r="F1598" s="3" t="s">
        <v>2957</v>
      </c>
      <c r="G1598" s="48" t="str">
        <f>HYPERLINK("https://uscode.house.gov/view.xhtml?req=granuleid:USC-prelim-title42-section241&amp;num=0&amp;edition=prelim", "42 U.S.C. 241(et. seq.)")</f>
        <v>42 U.S.C. 241(et. seq.)</v>
      </c>
      <c r="H1598" s="46">
        <v>46295</v>
      </c>
      <c r="I1598" s="13">
        <v>2026</v>
      </c>
      <c r="J1598" s="47">
        <v>12000000</v>
      </c>
      <c r="K1598" s="16" t="s">
        <v>62</v>
      </c>
      <c r="L1598" s="3" t="s">
        <v>2710</v>
      </c>
      <c r="M1598" s="3" t="s">
        <v>71</v>
      </c>
      <c r="N1598" s="3" t="s">
        <v>72</v>
      </c>
    </row>
    <row r="1599" spans="1:14" x14ac:dyDescent="0.3">
      <c r="A1599" s="36" t="s">
        <v>37</v>
      </c>
      <c r="B1599" s="13">
        <v>116</v>
      </c>
      <c r="C1599" s="48" t="str">
        <f>HYPERLINK("https://uscode.house.gov/statutes/pl/116/281.pdf", "P.L. 116-281")</f>
        <v>P.L. 116-281</v>
      </c>
      <c r="D1599" s="3" t="s">
        <v>2958</v>
      </c>
      <c r="F1599" s="3" t="s">
        <v>2959</v>
      </c>
      <c r="G1599" s="49"/>
      <c r="H1599" s="46">
        <v>45930</v>
      </c>
      <c r="I1599" s="13">
        <v>2025</v>
      </c>
      <c r="J1599" s="47">
        <v>10000000</v>
      </c>
      <c r="K1599" s="16" t="s">
        <v>62</v>
      </c>
      <c r="L1599" s="3" t="s">
        <v>41</v>
      </c>
      <c r="M1599" s="3" t="s">
        <v>42</v>
      </c>
      <c r="N1599" s="3" t="s">
        <v>43</v>
      </c>
    </row>
    <row r="1600" spans="1:14" x14ac:dyDescent="0.3">
      <c r="A1600" s="36" t="s">
        <v>37</v>
      </c>
      <c r="B1600" s="13">
        <v>116</v>
      </c>
      <c r="C1600" s="48" t="str">
        <f t="shared" ref="C1600:C1615" si="62">HYPERLINK("https://uscode.house.gov/statutes/pl/116/283.pdf", "P.L. 116-283")</f>
        <v>P.L. 116-283</v>
      </c>
      <c r="D1600" s="3" t="s">
        <v>2960</v>
      </c>
      <c r="E1600" s="3" t="s">
        <v>2961</v>
      </c>
      <c r="F1600" s="3" t="s">
        <v>2962</v>
      </c>
      <c r="G1600" s="48" t="str">
        <f>HYPERLINK("https://uscode.house.gov/view.xhtml?req=granuleid:USC-prelim-title22-section8607&amp;num=0&amp;edition=prelim", "22 U.S.C. 8607(e)")</f>
        <v>22 U.S.C. 8607(e)</v>
      </c>
      <c r="H1600" s="46">
        <v>45930</v>
      </c>
      <c r="I1600" s="13">
        <v>2025</v>
      </c>
      <c r="J1600" s="47">
        <v>262160000</v>
      </c>
      <c r="K1600" s="16" t="s">
        <v>62</v>
      </c>
      <c r="L1600" s="3" t="s">
        <v>60</v>
      </c>
      <c r="M1600" s="3" t="s">
        <v>1636</v>
      </c>
      <c r="N1600" s="3" t="s">
        <v>58</v>
      </c>
    </row>
    <row r="1601" spans="1:14" x14ac:dyDescent="0.3">
      <c r="A1601" s="36" t="s">
        <v>37</v>
      </c>
      <c r="B1601" s="13">
        <v>116</v>
      </c>
      <c r="C1601" s="48" t="str">
        <f t="shared" si="62"/>
        <v>P.L. 116-283</v>
      </c>
      <c r="D1601" s="3" t="s">
        <v>2960</v>
      </c>
      <c r="E1601" s="3" t="s">
        <v>2963</v>
      </c>
      <c r="F1601" s="3" t="s">
        <v>2964</v>
      </c>
      <c r="G1601" s="48" t="str">
        <f>HYPERLINK("https://uscode.house.gov/view.xhtml?req=granuleid:USC-prelim-title15-section8963&amp;num=0&amp;edition=prelim", "15 U.S.C. 8963(note)")</f>
        <v>15 U.S.C. 8963(note)</v>
      </c>
      <c r="H1601" s="46">
        <v>45930</v>
      </c>
      <c r="I1601" s="13">
        <v>2025</v>
      </c>
      <c r="J1601" s="47">
        <v>5000000</v>
      </c>
      <c r="K1601" s="16" t="s">
        <v>62</v>
      </c>
      <c r="L1601" s="3" t="s">
        <v>109</v>
      </c>
      <c r="M1601" s="3" t="s">
        <v>1636</v>
      </c>
      <c r="N1601" s="3" t="s">
        <v>43</v>
      </c>
    </row>
    <row r="1602" spans="1:14" x14ac:dyDescent="0.3">
      <c r="A1602" s="36" t="s">
        <v>37</v>
      </c>
      <c r="B1602" s="13">
        <v>116</v>
      </c>
      <c r="C1602" s="48" t="str">
        <f t="shared" si="62"/>
        <v>P.L. 116-283</v>
      </c>
      <c r="D1602" s="3" t="s">
        <v>2960</v>
      </c>
      <c r="F1602" s="3" t="s">
        <v>2965</v>
      </c>
      <c r="G1602" s="49"/>
      <c r="H1602" s="46">
        <v>49582</v>
      </c>
      <c r="I1602" s="13">
        <v>2035</v>
      </c>
      <c r="J1602" s="47">
        <v>60000000</v>
      </c>
      <c r="K1602" s="16" t="s">
        <v>62</v>
      </c>
      <c r="L1602" s="3" t="s">
        <v>109</v>
      </c>
      <c r="M1602" s="3" t="s">
        <v>1636</v>
      </c>
      <c r="N1602" s="3" t="s">
        <v>158</v>
      </c>
    </row>
    <row r="1603" spans="1:14" x14ac:dyDescent="0.3">
      <c r="A1603" s="36" t="s">
        <v>37</v>
      </c>
      <c r="B1603" s="13">
        <v>116</v>
      </c>
      <c r="C1603" s="48" t="str">
        <f t="shared" si="62"/>
        <v>P.L. 116-283</v>
      </c>
      <c r="D1603" s="3" t="s">
        <v>2960</v>
      </c>
      <c r="F1603" s="3" t="s">
        <v>2966</v>
      </c>
      <c r="G1603" s="49"/>
      <c r="H1603" s="46">
        <v>46295</v>
      </c>
      <c r="I1603" s="13">
        <v>2026</v>
      </c>
      <c r="J1603" s="47">
        <v>35000000</v>
      </c>
      <c r="K1603" s="16" t="s">
        <v>62</v>
      </c>
      <c r="L1603" s="3" t="s">
        <v>156</v>
      </c>
      <c r="M1603" s="3" t="s">
        <v>1636</v>
      </c>
      <c r="N1603" s="3" t="s">
        <v>55</v>
      </c>
    </row>
    <row r="1604" spans="1:14" x14ac:dyDescent="0.3">
      <c r="A1604" s="36" t="s">
        <v>37</v>
      </c>
      <c r="B1604" s="13">
        <v>116</v>
      </c>
      <c r="C1604" s="48" t="str">
        <f t="shared" si="62"/>
        <v>P.L. 116-283</v>
      </c>
      <c r="D1604" s="3" t="s">
        <v>2960</v>
      </c>
      <c r="F1604" s="3" t="s">
        <v>2967</v>
      </c>
      <c r="G1604" s="49"/>
      <c r="H1604" s="46">
        <v>44469</v>
      </c>
      <c r="I1604" s="13">
        <v>2021</v>
      </c>
      <c r="J1604" s="47">
        <v>450000</v>
      </c>
      <c r="K1604" s="16" t="s">
        <v>62</v>
      </c>
      <c r="L1604" s="3" t="s">
        <v>156</v>
      </c>
      <c r="M1604" s="3" t="s">
        <v>1636</v>
      </c>
      <c r="N1604" s="3" t="s">
        <v>55</v>
      </c>
    </row>
    <row r="1605" spans="1:14" x14ac:dyDescent="0.3">
      <c r="A1605" s="36" t="s">
        <v>37</v>
      </c>
      <c r="B1605" s="13">
        <v>116</v>
      </c>
      <c r="C1605" s="48" t="str">
        <f t="shared" si="62"/>
        <v>P.L. 116-283</v>
      </c>
      <c r="D1605" s="3" t="s">
        <v>2960</v>
      </c>
      <c r="E1605" s="3" t="s">
        <v>2968</v>
      </c>
      <c r="F1605" s="3" t="s">
        <v>2969</v>
      </c>
      <c r="G1605" s="48" t="str">
        <f>HYPERLINK("https://uscode.house.gov/view.xhtml?req=granuleid:USC-prelim-title15-section8963&amp;num=0&amp;edition=prelim", "15 U.S.C. 8963(note)")</f>
        <v>15 U.S.C. 8963(note)</v>
      </c>
      <c r="H1605" s="46">
        <v>44469</v>
      </c>
      <c r="I1605" s="13">
        <v>2021</v>
      </c>
      <c r="J1605" s="47">
        <v>2500000</v>
      </c>
      <c r="K1605" s="47">
        <v>3000000</v>
      </c>
      <c r="L1605" s="3" t="s">
        <v>109</v>
      </c>
      <c r="M1605" s="3" t="s">
        <v>1636</v>
      </c>
      <c r="N1605" s="3" t="s">
        <v>43</v>
      </c>
    </row>
    <row r="1606" spans="1:14" x14ac:dyDescent="0.3">
      <c r="A1606" s="36" t="s">
        <v>37</v>
      </c>
      <c r="B1606" s="13">
        <v>116</v>
      </c>
      <c r="C1606" s="48" t="str">
        <f t="shared" si="62"/>
        <v>P.L. 116-283</v>
      </c>
      <c r="D1606" s="3" t="s">
        <v>2960</v>
      </c>
      <c r="F1606" s="3" t="s">
        <v>2970</v>
      </c>
      <c r="G1606" s="49"/>
      <c r="H1606" s="46">
        <v>45199</v>
      </c>
      <c r="I1606" s="13">
        <v>2023</v>
      </c>
      <c r="J1606" s="47">
        <v>4000000</v>
      </c>
      <c r="K1606" s="16" t="s">
        <v>62</v>
      </c>
      <c r="L1606" s="3" t="s">
        <v>1635</v>
      </c>
      <c r="M1606" s="3" t="s">
        <v>1636</v>
      </c>
      <c r="N1606" s="3" t="s">
        <v>72</v>
      </c>
    </row>
    <row r="1607" spans="1:14" x14ac:dyDescent="0.3">
      <c r="A1607" s="36" t="s">
        <v>37</v>
      </c>
      <c r="B1607" s="13">
        <v>116</v>
      </c>
      <c r="C1607" s="48" t="str">
        <f t="shared" si="62"/>
        <v>P.L. 116-283</v>
      </c>
      <c r="D1607" s="3" t="s">
        <v>2960</v>
      </c>
      <c r="F1607" s="3" t="s">
        <v>2971</v>
      </c>
      <c r="G1607" s="49"/>
      <c r="H1607" s="46">
        <v>45199</v>
      </c>
      <c r="I1607" s="13">
        <v>2023</v>
      </c>
      <c r="J1607" s="47">
        <v>4000000</v>
      </c>
      <c r="K1607" s="16" t="s">
        <v>62</v>
      </c>
      <c r="L1607" s="3" t="s">
        <v>1635</v>
      </c>
      <c r="M1607" s="3" t="s">
        <v>1636</v>
      </c>
      <c r="N1607" s="3" t="s">
        <v>82</v>
      </c>
    </row>
    <row r="1608" spans="1:14" x14ac:dyDescent="0.3">
      <c r="A1608" s="36" t="s">
        <v>37</v>
      </c>
      <c r="B1608" s="13">
        <v>116</v>
      </c>
      <c r="C1608" s="48" t="str">
        <f t="shared" si="62"/>
        <v>P.L. 116-283</v>
      </c>
      <c r="D1608" s="3" t="s">
        <v>2960</v>
      </c>
      <c r="F1608" s="3" t="s">
        <v>2972</v>
      </c>
      <c r="G1608" s="49"/>
      <c r="H1608" s="46">
        <v>44469</v>
      </c>
      <c r="I1608" s="13">
        <v>2021</v>
      </c>
      <c r="J1608" s="47">
        <v>2000000</v>
      </c>
      <c r="K1608" s="16" t="s">
        <v>62</v>
      </c>
      <c r="L1608" s="3" t="s">
        <v>80</v>
      </c>
      <c r="M1608" s="3" t="s">
        <v>1636</v>
      </c>
      <c r="N1608" s="3" t="s">
        <v>82</v>
      </c>
    </row>
    <row r="1609" spans="1:14" x14ac:dyDescent="0.3">
      <c r="A1609" s="36" t="s">
        <v>37</v>
      </c>
      <c r="B1609" s="13">
        <v>116</v>
      </c>
      <c r="C1609" s="48" t="str">
        <f t="shared" si="62"/>
        <v>P.L. 116-283</v>
      </c>
      <c r="D1609" s="3" t="s">
        <v>2960</v>
      </c>
      <c r="F1609" s="3" t="s">
        <v>2973</v>
      </c>
      <c r="G1609" s="49"/>
      <c r="H1609" s="46">
        <v>44834</v>
      </c>
      <c r="I1609" s="13">
        <v>2022</v>
      </c>
      <c r="J1609" s="47">
        <v>25000000</v>
      </c>
      <c r="K1609" s="47">
        <v>40000000</v>
      </c>
      <c r="L1609" s="3" t="s">
        <v>1635</v>
      </c>
      <c r="M1609" s="3" t="s">
        <v>1636</v>
      </c>
      <c r="N1609" s="3" t="s">
        <v>82</v>
      </c>
    </row>
    <row r="1610" spans="1:14" x14ac:dyDescent="0.3">
      <c r="A1610" s="36" t="s">
        <v>37</v>
      </c>
      <c r="B1610" s="13">
        <v>116</v>
      </c>
      <c r="C1610" s="48" t="str">
        <f t="shared" si="62"/>
        <v>P.L. 116-283</v>
      </c>
      <c r="D1610" s="3" t="s">
        <v>2960</v>
      </c>
      <c r="F1610" s="3" t="s">
        <v>2974</v>
      </c>
      <c r="G1610" s="49"/>
      <c r="H1610" s="46">
        <v>44469</v>
      </c>
      <c r="I1610" s="13">
        <v>2021</v>
      </c>
      <c r="J1610" s="47">
        <v>10000000</v>
      </c>
      <c r="K1610" s="16" t="s">
        <v>62</v>
      </c>
      <c r="L1610" s="3" t="s">
        <v>47</v>
      </c>
      <c r="M1610" s="3" t="s">
        <v>1636</v>
      </c>
      <c r="N1610" s="3" t="s">
        <v>82</v>
      </c>
    </row>
    <row r="1611" spans="1:14" x14ac:dyDescent="0.3">
      <c r="A1611" s="36" t="s">
        <v>37</v>
      </c>
      <c r="B1611" s="13">
        <v>116</v>
      </c>
      <c r="C1611" s="48" t="str">
        <f t="shared" si="62"/>
        <v>P.L. 116-283</v>
      </c>
      <c r="D1611" s="3" t="s">
        <v>2960</v>
      </c>
      <c r="E1611" s="3" t="s">
        <v>2975</v>
      </c>
      <c r="F1611" s="3" t="s">
        <v>2976</v>
      </c>
      <c r="G1611" s="48" t="str">
        <f>HYPERLINK("https://uscode.house.gov/view.xhtml?req=granuleid:USC-prelim-title15-section9451&amp;num=0&amp;edition=prelim", "15 U.S.C. 9451(g)")</f>
        <v>15 U.S.C. 9451(g)</v>
      </c>
      <c r="H1611" s="46">
        <v>45930</v>
      </c>
      <c r="I1611" s="13">
        <v>2025</v>
      </c>
      <c r="J1611" s="47">
        <v>1055060000</v>
      </c>
      <c r="K1611" s="16" t="s">
        <v>62</v>
      </c>
      <c r="L1611" s="3" t="s">
        <v>1635</v>
      </c>
      <c r="M1611" s="3" t="s">
        <v>1636</v>
      </c>
      <c r="N1611" s="3" t="s">
        <v>43</v>
      </c>
    </row>
    <row r="1612" spans="1:14" x14ac:dyDescent="0.3">
      <c r="A1612" s="36" t="s">
        <v>37</v>
      </c>
      <c r="B1612" s="13">
        <v>116</v>
      </c>
      <c r="C1612" s="48" t="str">
        <f t="shared" si="62"/>
        <v>P.L. 116-283</v>
      </c>
      <c r="D1612" s="3" t="s">
        <v>2960</v>
      </c>
      <c r="F1612" s="3" t="s">
        <v>2977</v>
      </c>
      <c r="G1612" s="49"/>
      <c r="H1612" s="46">
        <v>44469</v>
      </c>
      <c r="I1612" s="13">
        <v>2021</v>
      </c>
      <c r="J1612" s="47">
        <v>3000000</v>
      </c>
      <c r="K1612" s="16" t="s">
        <v>62</v>
      </c>
      <c r="L1612" s="3" t="s">
        <v>109</v>
      </c>
      <c r="M1612" s="3" t="s">
        <v>148</v>
      </c>
      <c r="N1612" s="3" t="s">
        <v>158</v>
      </c>
    </row>
    <row r="1613" spans="1:14" x14ac:dyDescent="0.3">
      <c r="A1613" s="36" t="s">
        <v>37</v>
      </c>
      <c r="B1613" s="13">
        <v>116</v>
      </c>
      <c r="C1613" s="48" t="str">
        <f t="shared" si="62"/>
        <v>P.L. 116-283</v>
      </c>
      <c r="D1613" s="3" t="s">
        <v>2960</v>
      </c>
      <c r="F1613" s="3" t="s">
        <v>2978</v>
      </c>
      <c r="G1613" s="49"/>
      <c r="H1613" s="46">
        <v>44469</v>
      </c>
      <c r="I1613" s="13">
        <v>2021</v>
      </c>
      <c r="J1613" s="47">
        <v>3000000</v>
      </c>
      <c r="K1613" s="16" t="s">
        <v>62</v>
      </c>
      <c r="L1613" s="3" t="s">
        <v>109</v>
      </c>
      <c r="M1613" s="3" t="s">
        <v>148</v>
      </c>
      <c r="N1613" s="3" t="s">
        <v>158</v>
      </c>
    </row>
    <row r="1614" spans="1:14" x14ac:dyDescent="0.3">
      <c r="A1614" s="36" t="s">
        <v>37</v>
      </c>
      <c r="B1614" s="13">
        <v>116</v>
      </c>
      <c r="C1614" s="48" t="str">
        <f t="shared" si="62"/>
        <v>P.L. 116-283</v>
      </c>
      <c r="D1614" s="3" t="s">
        <v>2960</v>
      </c>
      <c r="F1614" s="3" t="s">
        <v>2979</v>
      </c>
      <c r="G1614" s="49"/>
      <c r="H1614" s="46">
        <v>44469</v>
      </c>
      <c r="I1614" s="13">
        <v>2021</v>
      </c>
      <c r="J1614" s="47">
        <v>29640000</v>
      </c>
      <c r="K1614" s="47">
        <v>38260000</v>
      </c>
      <c r="L1614" s="3" t="s">
        <v>109</v>
      </c>
      <c r="M1614" s="3" t="s">
        <v>148</v>
      </c>
      <c r="N1614" s="3" t="s">
        <v>158</v>
      </c>
    </row>
    <row r="1615" spans="1:14" x14ac:dyDescent="0.3">
      <c r="A1615" s="36" t="s">
        <v>37</v>
      </c>
      <c r="B1615" s="13">
        <v>116</v>
      </c>
      <c r="C1615" s="48" t="str">
        <f t="shared" si="62"/>
        <v>P.L. 116-283</v>
      </c>
      <c r="D1615" s="3" t="s">
        <v>2960</v>
      </c>
      <c r="F1615" s="3" t="s">
        <v>2980</v>
      </c>
      <c r="G1615" s="49"/>
      <c r="H1615" s="46">
        <v>44469</v>
      </c>
      <c r="I1615" s="13">
        <v>2021</v>
      </c>
      <c r="J1615" s="47">
        <v>3000000</v>
      </c>
      <c r="K1615" s="16" t="s">
        <v>62</v>
      </c>
      <c r="L1615" s="3" t="s">
        <v>1105</v>
      </c>
      <c r="M1615" s="3" t="s">
        <v>1636</v>
      </c>
      <c r="N1615" s="3" t="s">
        <v>406</v>
      </c>
    </row>
    <row r="1616" spans="1:14" x14ac:dyDescent="0.3">
      <c r="A1616" s="36" t="s">
        <v>37</v>
      </c>
      <c r="B1616" s="13">
        <v>116</v>
      </c>
      <c r="C1616" s="48" t="str">
        <f>HYPERLINK("https://uscode.house.gov/statutes/pl/116/284.pdf", "P.L. 116-284")</f>
        <v>P.L. 116-284</v>
      </c>
      <c r="D1616" s="3" t="s">
        <v>2981</v>
      </c>
      <c r="F1616" s="3" t="s">
        <v>2982</v>
      </c>
      <c r="G1616" s="49"/>
      <c r="H1616" s="46">
        <v>45199</v>
      </c>
      <c r="I1616" s="13">
        <v>2023</v>
      </c>
      <c r="J1616" s="47">
        <v>100000000</v>
      </c>
      <c r="K1616" s="16" t="s">
        <v>62</v>
      </c>
      <c r="L1616" s="3" t="s">
        <v>109</v>
      </c>
      <c r="M1616" s="3" t="s">
        <v>67</v>
      </c>
      <c r="N1616" s="3" t="s">
        <v>49</v>
      </c>
    </row>
    <row r="1617" spans="1:14" x14ac:dyDescent="0.3">
      <c r="A1617" s="36" t="s">
        <v>37</v>
      </c>
      <c r="B1617" s="13">
        <v>116</v>
      </c>
      <c r="C1617" s="48" t="str">
        <f>HYPERLINK("https://uscode.house.gov/statutes/pl/116/289.pdf", "P.L. 116-289")</f>
        <v>P.L. 116-289</v>
      </c>
      <c r="D1617" s="3" t="s">
        <v>2983</v>
      </c>
      <c r="F1617" s="3" t="s">
        <v>2984</v>
      </c>
      <c r="G1617" s="49"/>
      <c r="H1617" s="46">
        <v>46295</v>
      </c>
      <c r="I1617" s="13">
        <v>2026</v>
      </c>
      <c r="J1617" s="47">
        <v>2000000</v>
      </c>
      <c r="K1617" s="16" t="s">
        <v>62</v>
      </c>
      <c r="L1617" s="3" t="s">
        <v>47</v>
      </c>
      <c r="M1617" s="3" t="s">
        <v>148</v>
      </c>
      <c r="N1617" s="3" t="s">
        <v>58</v>
      </c>
    </row>
    <row r="1618" spans="1:14" x14ac:dyDescent="0.3">
      <c r="A1618" s="36" t="s">
        <v>37</v>
      </c>
      <c r="B1618" s="13">
        <v>116</v>
      </c>
      <c r="C1618" s="48" t="str">
        <f>HYPERLINK("https://uscode.house.gov/statutes/pl/116/294.pdf", "P.L. 116-294")</f>
        <v>P.L. 116-294</v>
      </c>
      <c r="D1618" s="3" t="s">
        <v>2985</v>
      </c>
      <c r="E1618" s="3" t="s">
        <v>978</v>
      </c>
      <c r="F1618" s="3" t="s">
        <v>2986</v>
      </c>
      <c r="G1618" s="48" t="str">
        <f>HYPERLINK("https://uscode.house.gov/view.xhtml?req=granuleid:USC-prelim-title33-section1268&amp;num=0&amp;edition=prelim", "33 U.S.C. 1268(c)(7)")</f>
        <v>33 U.S.C. 1268(c)(7)</v>
      </c>
      <c r="H1618" s="46">
        <v>46295</v>
      </c>
      <c r="I1618" s="13">
        <v>2026</v>
      </c>
      <c r="J1618" s="47">
        <v>475000000</v>
      </c>
      <c r="K1618" s="16" t="s">
        <v>62</v>
      </c>
      <c r="L1618" s="3" t="s">
        <v>109</v>
      </c>
      <c r="M1618" s="3" t="s">
        <v>67</v>
      </c>
      <c r="N1618" s="3" t="s">
        <v>49</v>
      </c>
    </row>
    <row r="1619" spans="1:14" x14ac:dyDescent="0.3">
      <c r="A1619" s="36" t="s">
        <v>37</v>
      </c>
      <c r="B1619" s="13">
        <v>116</v>
      </c>
      <c r="C1619" s="48" t="str">
        <f>HYPERLINK("https://uscode.house.gov/statutes/pl/116/315.pdf", "P.L. 116-315")</f>
        <v>P.L. 116-315</v>
      </c>
      <c r="D1619" s="3" t="s">
        <v>2987</v>
      </c>
      <c r="E1619" s="3" t="s">
        <v>2988</v>
      </c>
      <c r="F1619" s="3" t="s">
        <v>2989</v>
      </c>
      <c r="G1619" s="49"/>
      <c r="H1619" s="46">
        <v>45930</v>
      </c>
      <c r="I1619" s="13">
        <v>2025</v>
      </c>
      <c r="J1619" s="47">
        <v>1000000</v>
      </c>
      <c r="K1619" s="16" t="s">
        <v>62</v>
      </c>
      <c r="L1619" s="3" t="s">
        <v>265</v>
      </c>
      <c r="M1619" s="3" t="s">
        <v>266</v>
      </c>
      <c r="N1619" s="3" t="s">
        <v>267</v>
      </c>
    </row>
    <row r="1620" spans="1:14" x14ac:dyDescent="0.3">
      <c r="A1620" s="36" t="s">
        <v>37</v>
      </c>
      <c r="B1620" s="13">
        <v>116</v>
      </c>
      <c r="C1620" s="48" t="str">
        <f>HYPERLINK("https://uscode.house.gov/statutes/pl/116/323.pdf", "P.L. 116-323")</f>
        <v>P.L. 116-323</v>
      </c>
      <c r="D1620" s="3" t="s">
        <v>2990</v>
      </c>
      <c r="F1620" s="3" t="s">
        <v>2991</v>
      </c>
      <c r="G1620" s="49"/>
      <c r="H1620" s="46">
        <v>45565</v>
      </c>
      <c r="I1620" s="13">
        <v>2024</v>
      </c>
      <c r="J1620" s="47">
        <v>25000000</v>
      </c>
      <c r="K1620" s="16" t="s">
        <v>62</v>
      </c>
      <c r="L1620" s="3" t="s">
        <v>135</v>
      </c>
      <c r="M1620" s="3" t="s">
        <v>586</v>
      </c>
      <c r="N1620" s="3" t="s">
        <v>49</v>
      </c>
    </row>
    <row r="1621" spans="1:14" x14ac:dyDescent="0.3">
      <c r="A1621" s="36" t="s">
        <v>37</v>
      </c>
      <c r="B1621" s="13">
        <v>116</v>
      </c>
      <c r="C1621" s="48" t="str">
        <f>HYPERLINK("https://uscode.house.gov/statutes/pl/116/323.pdf", "P.L. 116-323")</f>
        <v>P.L. 116-323</v>
      </c>
      <c r="D1621" s="3" t="s">
        <v>2990</v>
      </c>
      <c r="F1621" s="3" t="s">
        <v>2992</v>
      </c>
      <c r="G1621" s="49"/>
      <c r="H1621" s="46">
        <v>45565</v>
      </c>
      <c r="I1621" s="13">
        <v>2024</v>
      </c>
      <c r="J1621" s="47">
        <v>11000000</v>
      </c>
      <c r="K1621" s="16" t="s">
        <v>62</v>
      </c>
      <c r="L1621" s="3" t="s">
        <v>135</v>
      </c>
      <c r="M1621" s="3" t="s">
        <v>586</v>
      </c>
      <c r="N1621" s="3" t="s">
        <v>49</v>
      </c>
    </row>
    <row r="1622" spans="1:14" x14ac:dyDescent="0.3">
      <c r="A1622" s="36" t="s">
        <v>37</v>
      </c>
      <c r="B1622" s="13">
        <v>116</v>
      </c>
      <c r="C1622" s="48" t="str">
        <f>HYPERLINK("https://uscode.house.gov/statutes/pl/116/323.pdf", "P.L. 116-323")</f>
        <v>P.L. 116-323</v>
      </c>
      <c r="D1622" s="3" t="s">
        <v>2990</v>
      </c>
      <c r="F1622" s="3" t="s">
        <v>2993</v>
      </c>
      <c r="G1622" s="49"/>
      <c r="H1622" s="46">
        <v>45565</v>
      </c>
      <c r="I1622" s="13">
        <v>2024</v>
      </c>
      <c r="J1622" s="47">
        <v>1000000</v>
      </c>
      <c r="K1622" s="16" t="s">
        <v>62</v>
      </c>
      <c r="L1622" s="3" t="s">
        <v>135</v>
      </c>
      <c r="M1622" s="3" t="s">
        <v>586</v>
      </c>
      <c r="N1622" s="3" t="s">
        <v>49</v>
      </c>
    </row>
    <row r="1623" spans="1:14" x14ac:dyDescent="0.3">
      <c r="A1623" s="36" t="s">
        <v>37</v>
      </c>
      <c r="B1623" s="13">
        <v>116</v>
      </c>
      <c r="C1623" s="48" t="str">
        <f>HYPERLINK("https://uscode.house.gov/statutes/pl/116/323.pdf", "P.L. 116-323")</f>
        <v>P.L. 116-323</v>
      </c>
      <c r="D1623" s="3" t="s">
        <v>2990</v>
      </c>
      <c r="F1623" s="3" t="s">
        <v>2994</v>
      </c>
      <c r="G1623" s="49"/>
      <c r="H1623" s="46">
        <v>45565</v>
      </c>
      <c r="I1623" s="13">
        <v>2024</v>
      </c>
      <c r="J1623" s="47">
        <v>40000000</v>
      </c>
      <c r="K1623" s="16" t="s">
        <v>62</v>
      </c>
      <c r="L1623" s="3" t="s">
        <v>135</v>
      </c>
      <c r="M1623" s="3" t="s">
        <v>586</v>
      </c>
      <c r="N1623" s="3" t="s">
        <v>49</v>
      </c>
    </row>
    <row r="1624" spans="1:14" x14ac:dyDescent="0.3">
      <c r="A1624" s="36" t="s">
        <v>37</v>
      </c>
      <c r="B1624" s="13">
        <v>116</v>
      </c>
      <c r="C1624" s="48" t="str">
        <f>HYPERLINK("https://uscode.house.gov/statutes/pl/116/324.pdf", "P.L. 116-324")</f>
        <v>P.L. 116-324</v>
      </c>
      <c r="D1624" s="3" t="s">
        <v>2995</v>
      </c>
      <c r="E1624" s="3" t="s">
        <v>2996</v>
      </c>
      <c r="F1624" s="3" t="s">
        <v>2997</v>
      </c>
      <c r="G1624" s="48" t="str">
        <f>HYPERLINK("https://uscode.house.gov/view.xhtml?req=granuleid:USC-prelim-title42-section300ii-4&amp;num=0&amp;edition=prelim", "42 U.S.C. 300ii-4")</f>
        <v>42 U.S.C. 300ii-4</v>
      </c>
      <c r="H1624" s="46">
        <v>45565</v>
      </c>
      <c r="I1624" s="13">
        <v>2024</v>
      </c>
      <c r="J1624" s="47">
        <v>10000000</v>
      </c>
      <c r="K1624" s="16" t="s">
        <v>62</v>
      </c>
      <c r="L1624" s="3" t="s">
        <v>60</v>
      </c>
      <c r="M1624" s="3" t="s">
        <v>71</v>
      </c>
      <c r="N1624" s="3" t="s">
        <v>72</v>
      </c>
    </row>
    <row r="1625" spans="1:14" x14ac:dyDescent="0.3">
      <c r="A1625" s="36" t="s">
        <v>37</v>
      </c>
      <c r="B1625" s="13">
        <v>116</v>
      </c>
      <c r="C1625" s="48" t="str">
        <f>HYPERLINK("https://uscode.house.gov/statutes/pl/116/337.pdf", "P.L. 116-337")</f>
        <v>P.L. 116-337</v>
      </c>
      <c r="D1625" s="3" t="s">
        <v>2998</v>
      </c>
      <c r="E1625" s="3" t="s">
        <v>222</v>
      </c>
      <c r="F1625" s="3" t="s">
        <v>2999</v>
      </c>
      <c r="G1625" s="48" t="str">
        <f>HYPERLINK("https://uscode.house.gov/view.xhtml?req=granuleid:USC-prelim-title33-section1330&amp;num=0&amp;edition=prelim", "33 U.S.C. 1330(i)")</f>
        <v>33 U.S.C. 1330(i)</v>
      </c>
      <c r="H1625" s="46">
        <v>46295</v>
      </c>
      <c r="I1625" s="13">
        <v>2026</v>
      </c>
      <c r="J1625" s="47">
        <v>50000000</v>
      </c>
      <c r="K1625" s="16" t="s">
        <v>62</v>
      </c>
      <c r="L1625" s="3" t="s">
        <v>109</v>
      </c>
      <c r="M1625" s="3" t="s">
        <v>67</v>
      </c>
      <c r="N1625" s="3" t="s">
        <v>49</v>
      </c>
    </row>
    <row r="1626" spans="1:14" x14ac:dyDescent="0.3">
      <c r="A1626" s="36" t="s">
        <v>37</v>
      </c>
      <c r="B1626" s="13">
        <v>117</v>
      </c>
      <c r="C1626" s="48" t="str">
        <f>HYPERLINK("https://uscode.house.gov/statutes/pl/117/15.pdf", "P.L. 117-15")</f>
        <v>P.L. 117-15</v>
      </c>
      <c r="D1626" s="3" t="s">
        <v>3000</v>
      </c>
      <c r="F1626" s="3" t="s">
        <v>3001</v>
      </c>
      <c r="G1626" s="48" t="str">
        <f>HYPERLINK("https://uscode.house.gov/view.xhtml?req=granuleid:USC-prelim-title42-section274m&amp;num=0&amp;edition=prelim", "42 U.S.C. 274m")</f>
        <v>42 U.S.C. 274m</v>
      </c>
      <c r="H1626" s="46">
        <v>46295</v>
      </c>
      <c r="I1626" s="13">
        <v>2026</v>
      </c>
      <c r="J1626" s="47">
        <v>31009000</v>
      </c>
      <c r="K1626" s="16" t="s">
        <v>62</v>
      </c>
      <c r="L1626" s="3" t="s">
        <v>60</v>
      </c>
      <c r="M1626" s="3" t="s">
        <v>71</v>
      </c>
      <c r="N1626" s="3" t="s">
        <v>72</v>
      </c>
    </row>
    <row r="1627" spans="1:14" x14ac:dyDescent="0.3">
      <c r="A1627" s="36" t="s">
        <v>37</v>
      </c>
      <c r="B1627" s="13">
        <v>117</v>
      </c>
      <c r="C1627" s="48" t="str">
        <f>HYPERLINK("https://uscode.house.gov/statutes/pl/117/15.pdf", "P.L. 117-15")</f>
        <v>P.L. 117-15</v>
      </c>
      <c r="D1627" s="3" t="s">
        <v>3000</v>
      </c>
      <c r="F1627" s="3" t="s">
        <v>3002</v>
      </c>
      <c r="G1627" s="48" t="str">
        <f>HYPERLINK("https://uscode.house.gov/view.xhtml?req=granuleid:USC-prelim-title42-section274k&amp;num=0&amp;edition=prelim", "42 U.S.C. 274k(Cord Blood Inventory)")</f>
        <v>42 U.S.C. 274k(Cord Blood Inventory)</v>
      </c>
      <c r="H1627" s="46">
        <v>46295</v>
      </c>
      <c r="I1627" s="13">
        <v>2026</v>
      </c>
      <c r="J1627" s="47">
        <v>23000000</v>
      </c>
      <c r="K1627" s="16" t="s">
        <v>62</v>
      </c>
      <c r="L1627" s="3" t="s">
        <v>60</v>
      </c>
      <c r="M1627" s="3" t="s">
        <v>71</v>
      </c>
      <c r="N1627" s="3" t="s">
        <v>72</v>
      </c>
    </row>
    <row r="1628" spans="1:14" x14ac:dyDescent="0.3">
      <c r="A1628" s="36" t="s">
        <v>37</v>
      </c>
      <c r="B1628" s="13">
        <v>117</v>
      </c>
      <c r="C1628" s="48" t="str">
        <f>HYPERLINK("https://uscode.house.gov/statutes/pl/117/21.pdf", "P.L. 117-21")</f>
        <v>P.L. 117-21</v>
      </c>
      <c r="D1628" s="3" t="s">
        <v>3003</v>
      </c>
      <c r="E1628" s="3" t="s">
        <v>1377</v>
      </c>
      <c r="F1628" s="3" t="s">
        <v>3004</v>
      </c>
      <c r="G1628" s="48" t="str">
        <f>HYPERLINK("https://uscode.house.gov/view.xhtml?req=granuleid:USC-prelim-title38-section1712A&amp;num=0&amp;edition=prelim", "38 U.S.C. 1712A(Note)")</f>
        <v>38 U.S.C. 1712A(Note)</v>
      </c>
      <c r="H1628" s="46">
        <v>45565</v>
      </c>
      <c r="I1628" s="13">
        <v>2024</v>
      </c>
      <c r="J1628" s="47">
        <v>1200000</v>
      </c>
      <c r="K1628" s="16" t="s">
        <v>62</v>
      </c>
      <c r="L1628" s="3" t="s">
        <v>265</v>
      </c>
      <c r="M1628" s="3" t="s">
        <v>266</v>
      </c>
      <c r="N1628" s="3" t="s">
        <v>267</v>
      </c>
    </row>
    <row r="1629" spans="1:14" x14ac:dyDescent="0.3">
      <c r="A1629" s="36" t="s">
        <v>37</v>
      </c>
      <c r="B1629" s="13">
        <v>117</v>
      </c>
      <c r="C1629" s="48" t="str">
        <f t="shared" ref="C1629:C1660" si="63">HYPERLINK("https://uscode.house.gov/statutes/pl/117/58.pdf", "P.L. 117-58")</f>
        <v>P.L. 117-58</v>
      </c>
      <c r="D1629" s="3" t="s">
        <v>3005</v>
      </c>
      <c r="E1629" s="3" t="s">
        <v>3006</v>
      </c>
      <c r="F1629" s="3" t="s">
        <v>3007</v>
      </c>
      <c r="G1629" s="49"/>
      <c r="H1629" s="46">
        <v>46295</v>
      </c>
      <c r="I1629" s="13">
        <v>2026</v>
      </c>
      <c r="J1629" s="47">
        <v>2000000000</v>
      </c>
      <c r="K1629" s="16" t="s">
        <v>62</v>
      </c>
      <c r="L1629" s="3" t="s">
        <v>109</v>
      </c>
      <c r="M1629" s="3" t="s">
        <v>148</v>
      </c>
      <c r="N1629" s="3" t="s">
        <v>158</v>
      </c>
    </row>
    <row r="1630" spans="1:14" x14ac:dyDescent="0.3">
      <c r="A1630" s="36" t="s">
        <v>37</v>
      </c>
      <c r="B1630" s="13">
        <v>117</v>
      </c>
      <c r="C1630" s="48" t="str">
        <f t="shared" si="63"/>
        <v>P.L. 117-58</v>
      </c>
      <c r="D1630" s="3" t="s">
        <v>3005</v>
      </c>
      <c r="E1630" s="3" t="s">
        <v>3008</v>
      </c>
      <c r="F1630" s="3" t="s">
        <v>2082</v>
      </c>
      <c r="G1630" s="48" t="str">
        <f>HYPERLINK("https://uscode.house.gov/view.xhtml?req=granuleid:USC-prelim-title42-section300j-12&amp;num=0&amp;edition=prelim", "42 U.S.C. 300j-12")</f>
        <v>42 U.S.C. 300j-12</v>
      </c>
      <c r="H1630" s="46">
        <v>46295</v>
      </c>
      <c r="I1630" s="13">
        <v>2026</v>
      </c>
      <c r="J1630" s="47">
        <v>1126000000</v>
      </c>
      <c r="K1630" s="16" t="s">
        <v>62</v>
      </c>
      <c r="L1630" s="3" t="s">
        <v>60</v>
      </c>
      <c r="M1630" s="3" t="s">
        <v>67</v>
      </c>
      <c r="N1630" s="3" t="s">
        <v>49</v>
      </c>
    </row>
    <row r="1631" spans="1:14" x14ac:dyDescent="0.3">
      <c r="A1631" s="36" t="s">
        <v>37</v>
      </c>
      <c r="B1631" s="13">
        <v>117</v>
      </c>
      <c r="C1631" s="48" t="str">
        <f t="shared" si="63"/>
        <v>P.L. 117-58</v>
      </c>
      <c r="D1631" s="3" t="s">
        <v>3005</v>
      </c>
      <c r="E1631" s="3" t="s">
        <v>3009</v>
      </c>
      <c r="F1631" s="3" t="s">
        <v>3010</v>
      </c>
      <c r="G1631" s="48" t="str">
        <f>HYPERLINK("https://uscode.house.gov/view.xhtml?req=granuleid:USC-prelim-title33-section1381&amp;num=0&amp;edition=prelim", "33 U.S.C. 1381")</f>
        <v>33 U.S.C. 1381</v>
      </c>
      <c r="H1631" s="46">
        <v>46295</v>
      </c>
      <c r="I1631" s="13">
        <v>2026</v>
      </c>
      <c r="J1631" s="47">
        <v>1639000000</v>
      </c>
      <c r="K1631" s="16" t="s">
        <v>62</v>
      </c>
      <c r="L1631" s="3" t="s">
        <v>109</v>
      </c>
      <c r="M1631" s="3" t="s">
        <v>67</v>
      </c>
      <c r="N1631" s="3" t="s">
        <v>49</v>
      </c>
    </row>
    <row r="1632" spans="1:14" x14ac:dyDescent="0.3">
      <c r="A1632" s="36" t="s">
        <v>37</v>
      </c>
      <c r="B1632" s="13">
        <v>117</v>
      </c>
      <c r="C1632" s="48" t="str">
        <f t="shared" si="63"/>
        <v>P.L. 117-58</v>
      </c>
      <c r="D1632" s="3" t="s">
        <v>3005</v>
      </c>
      <c r="E1632" s="3" t="s">
        <v>3011</v>
      </c>
      <c r="F1632" s="3" t="s">
        <v>3012</v>
      </c>
      <c r="G1632" s="48" t="str">
        <f>HYPERLINK("https://uscode.house.gov/view.xhtml?req=granuleid:USC-prelim-title47-section1726&amp;num=0&amp;edition=prelim", "47 U.S.C. 1726(c)")</f>
        <v>47 U.S.C. 1726(c)</v>
      </c>
      <c r="H1632" s="46">
        <v>46295</v>
      </c>
      <c r="I1632" s="13">
        <v>2026</v>
      </c>
      <c r="J1632" s="47">
        <v>1000000</v>
      </c>
      <c r="K1632" s="16" t="s">
        <v>62</v>
      </c>
      <c r="L1632" s="3" t="s">
        <v>60</v>
      </c>
      <c r="M1632" s="3" t="s">
        <v>148</v>
      </c>
      <c r="N1632" s="3" t="s">
        <v>43</v>
      </c>
    </row>
    <row r="1633" spans="1:14" x14ac:dyDescent="0.3">
      <c r="A1633" s="36" t="s">
        <v>37</v>
      </c>
      <c r="B1633" s="13">
        <v>117</v>
      </c>
      <c r="C1633" s="48" t="str">
        <f t="shared" si="63"/>
        <v>P.L. 117-58</v>
      </c>
      <c r="D1633" s="3" t="s">
        <v>3005</v>
      </c>
      <c r="E1633" s="3" t="s">
        <v>3013</v>
      </c>
      <c r="F1633" s="3" t="s">
        <v>3014</v>
      </c>
      <c r="G1633" s="48" t="str">
        <f>HYPERLINK("https://uscode.house.gov/view.xhtml?req=granuleid:USC-prelim-title47-section1741&amp;num=0&amp;edition=prelim", "47 U.S.C. 1741(h)")</f>
        <v>47 U.S.C. 1741(h)</v>
      </c>
      <c r="H1633" s="46">
        <v>46295</v>
      </c>
      <c r="I1633" s="13">
        <v>2026</v>
      </c>
      <c r="J1633" s="16" t="s">
        <v>12</v>
      </c>
      <c r="K1633" s="16" t="s">
        <v>62</v>
      </c>
      <c r="L1633" s="3" t="s">
        <v>60</v>
      </c>
      <c r="M1633" s="3" t="s">
        <v>148</v>
      </c>
      <c r="N1633" s="3" t="s">
        <v>43</v>
      </c>
    </row>
    <row r="1634" spans="1:14" x14ac:dyDescent="0.3">
      <c r="A1634" s="36" t="s">
        <v>37</v>
      </c>
      <c r="B1634" s="13">
        <v>117</v>
      </c>
      <c r="C1634" s="48" t="str">
        <f t="shared" si="63"/>
        <v>P.L. 117-58</v>
      </c>
      <c r="D1634" s="3" t="s">
        <v>3005</v>
      </c>
      <c r="E1634" s="3" t="s">
        <v>3015</v>
      </c>
      <c r="F1634" s="3" t="s">
        <v>3016</v>
      </c>
      <c r="G1634" s="48" t="str">
        <f>HYPERLINK("https://uscode.house.gov/view.xhtml?req=granuleid:USC-prelim-title15-section9598&amp;num=0&amp;edition=prelim", "15 U.S.C. 9598")</f>
        <v>15 U.S.C. 9598</v>
      </c>
      <c r="H1634" s="46">
        <v>45930</v>
      </c>
      <c r="I1634" s="13">
        <v>2025</v>
      </c>
      <c r="J1634" s="47">
        <v>110000000</v>
      </c>
      <c r="K1634" s="16" t="s">
        <v>62</v>
      </c>
      <c r="L1634" s="3" t="s">
        <v>60</v>
      </c>
      <c r="M1634" s="3" t="s">
        <v>148</v>
      </c>
      <c r="N1634" s="3" t="s">
        <v>43</v>
      </c>
    </row>
    <row r="1635" spans="1:14" x14ac:dyDescent="0.3">
      <c r="A1635" s="36" t="s">
        <v>37</v>
      </c>
      <c r="B1635" s="13">
        <v>117</v>
      </c>
      <c r="C1635" s="48" t="str">
        <f t="shared" si="63"/>
        <v>P.L. 117-58</v>
      </c>
      <c r="D1635" s="3" t="s">
        <v>3005</v>
      </c>
      <c r="E1635" s="3" t="s">
        <v>3017</v>
      </c>
      <c r="F1635" s="3" t="s">
        <v>3010</v>
      </c>
      <c r="G1635" s="48" t="str">
        <f>HYPERLINK("https://uscode.house.gov/view.xhtml?req=granuleid:USC-prelim-title33-section1387&amp;num=0&amp;edition=prelim", "33 U.S.C. 1387(4)")</f>
        <v>33 U.S.C. 1387(4)</v>
      </c>
      <c r="H1635" s="46">
        <v>46295</v>
      </c>
      <c r="I1635" s="13">
        <v>2026</v>
      </c>
      <c r="J1635" s="47">
        <v>3250000000</v>
      </c>
      <c r="K1635" s="16" t="s">
        <v>62</v>
      </c>
      <c r="L1635" s="3" t="s">
        <v>109</v>
      </c>
      <c r="M1635" s="3" t="s">
        <v>67</v>
      </c>
      <c r="N1635" s="3" t="s">
        <v>49</v>
      </c>
    </row>
    <row r="1636" spans="1:14" x14ac:dyDescent="0.3">
      <c r="A1636" s="36" t="s">
        <v>37</v>
      </c>
      <c r="B1636" s="13">
        <v>117</v>
      </c>
      <c r="C1636" s="48" t="str">
        <f t="shared" si="63"/>
        <v>P.L. 117-58</v>
      </c>
      <c r="D1636" s="3" t="s">
        <v>3005</v>
      </c>
      <c r="E1636" s="3" t="s">
        <v>3018</v>
      </c>
      <c r="F1636" s="3" t="s">
        <v>3019</v>
      </c>
      <c r="G1636" s="48" t="str">
        <f>HYPERLINK("https://uscode.house.gov/view.xhtml?req=granuleid:USC-prelim-title42-section10362&amp;num=0&amp;edition=prelim", "42 U.S.C. 10362(note)")</f>
        <v>42 U.S.C. 10362(note)</v>
      </c>
      <c r="H1636" s="46">
        <v>46295</v>
      </c>
      <c r="I1636" s="13">
        <v>2026</v>
      </c>
      <c r="J1636" s="47">
        <v>15000000</v>
      </c>
      <c r="K1636" s="16" t="s">
        <v>62</v>
      </c>
      <c r="L1636" s="3" t="s">
        <v>47</v>
      </c>
      <c r="M1636" s="3" t="s">
        <v>67</v>
      </c>
      <c r="N1636" s="3" t="s">
        <v>49</v>
      </c>
    </row>
    <row r="1637" spans="1:14" x14ac:dyDescent="0.3">
      <c r="A1637" s="36" t="s">
        <v>37</v>
      </c>
      <c r="B1637" s="13">
        <v>117</v>
      </c>
      <c r="C1637" s="48" t="str">
        <f t="shared" si="63"/>
        <v>P.L. 117-58</v>
      </c>
      <c r="D1637" s="3" t="s">
        <v>3005</v>
      </c>
      <c r="E1637" s="3" t="s">
        <v>3020</v>
      </c>
      <c r="F1637" s="3" t="s">
        <v>3021</v>
      </c>
      <c r="G1637" s="48" t="str">
        <f>HYPERLINK("https://uscode.house.gov/view.xhtml?req=granuleid:USC-prelim-title33-section1302f&amp;num=0&amp;edition=prelim", "33 U.S.C. 1302f(b)(4)")</f>
        <v>33 U.S.C. 1302f(b)(4)</v>
      </c>
      <c r="H1637" s="46">
        <v>46295</v>
      </c>
      <c r="I1637" s="13">
        <v>2026</v>
      </c>
      <c r="J1637" s="47">
        <v>5000000</v>
      </c>
      <c r="K1637" s="16" t="s">
        <v>62</v>
      </c>
      <c r="L1637" s="3" t="s">
        <v>109</v>
      </c>
      <c r="M1637" s="3" t="s">
        <v>67</v>
      </c>
      <c r="N1637" s="3" t="s">
        <v>49</v>
      </c>
    </row>
    <row r="1638" spans="1:14" x14ac:dyDescent="0.3">
      <c r="A1638" s="36" t="s">
        <v>37</v>
      </c>
      <c r="B1638" s="13">
        <v>117</v>
      </c>
      <c r="C1638" s="48" t="str">
        <f t="shared" si="63"/>
        <v>P.L. 117-58</v>
      </c>
      <c r="D1638" s="3" t="s">
        <v>3005</v>
      </c>
      <c r="E1638" s="3" t="s">
        <v>3022</v>
      </c>
      <c r="F1638" s="3" t="s">
        <v>3023</v>
      </c>
      <c r="G1638" s="48" t="str">
        <f>HYPERLINK("https://uscode.house.gov/view.xhtml?req=granuleid:USC-prelim-title33-section1302f&amp;num=0&amp;edition=prelim", "33 U.S.C. 1302f(e)")</f>
        <v>33 U.S.C. 1302f(e)</v>
      </c>
      <c r="H1638" s="46">
        <v>46295</v>
      </c>
      <c r="I1638" s="13">
        <v>2026</v>
      </c>
      <c r="J1638" s="47">
        <v>10000000</v>
      </c>
      <c r="K1638" s="16" t="s">
        <v>62</v>
      </c>
      <c r="L1638" s="3" t="s">
        <v>109</v>
      </c>
      <c r="M1638" s="3" t="s">
        <v>67</v>
      </c>
      <c r="N1638" s="3" t="s">
        <v>49</v>
      </c>
    </row>
    <row r="1639" spans="1:14" x14ac:dyDescent="0.3">
      <c r="A1639" s="36" t="s">
        <v>37</v>
      </c>
      <c r="B1639" s="13">
        <v>117</v>
      </c>
      <c r="C1639" s="48" t="str">
        <f t="shared" si="63"/>
        <v>P.L. 117-58</v>
      </c>
      <c r="D1639" s="3" t="s">
        <v>3005</v>
      </c>
      <c r="E1639" s="3" t="s">
        <v>3024</v>
      </c>
      <c r="F1639" s="3" t="s">
        <v>3025</v>
      </c>
      <c r="G1639" s="48" t="str">
        <f>HYPERLINK("https://uscode.house.gov/view.xhtml?req=granuleid:USC-prelim-title33-section1251&amp;num=0&amp;edition=prelim", "33 U.S.C. 1251")</f>
        <v>33 U.S.C. 1251</v>
      </c>
      <c r="H1639" s="46">
        <v>46295</v>
      </c>
      <c r="I1639" s="13">
        <v>2026</v>
      </c>
      <c r="J1639" s="47">
        <v>5000000</v>
      </c>
      <c r="K1639" s="16" t="s">
        <v>62</v>
      </c>
      <c r="L1639" s="3" t="s">
        <v>109</v>
      </c>
      <c r="M1639" s="3" t="s">
        <v>67</v>
      </c>
      <c r="N1639" s="3" t="s">
        <v>49</v>
      </c>
    </row>
    <row r="1640" spans="1:14" x14ac:dyDescent="0.3">
      <c r="A1640" s="36" t="s">
        <v>37</v>
      </c>
      <c r="B1640" s="13">
        <v>117</v>
      </c>
      <c r="C1640" s="48" t="str">
        <f t="shared" si="63"/>
        <v>P.L. 117-58</v>
      </c>
      <c r="D1640" s="3" t="s">
        <v>3005</v>
      </c>
      <c r="E1640" s="3" t="s">
        <v>3026</v>
      </c>
      <c r="F1640" s="3" t="s">
        <v>3027</v>
      </c>
      <c r="G1640" s="48" t="str">
        <f>HYPERLINK("https://uscode.house.gov/view.xhtml?req=granuleid:USC-prelim-title42-section300j-1&amp;num=0&amp;edition=prelim", "42 U.S.C. 300j-1(e)(5)")</f>
        <v>42 U.S.C. 300j-1(e)(5)</v>
      </c>
      <c r="H1640" s="46">
        <v>46295</v>
      </c>
      <c r="I1640" s="13">
        <v>2026</v>
      </c>
      <c r="J1640" s="47">
        <v>15000000</v>
      </c>
      <c r="K1640" s="16" t="s">
        <v>62</v>
      </c>
      <c r="L1640" s="3" t="s">
        <v>60</v>
      </c>
      <c r="M1640" s="3" t="s">
        <v>67</v>
      </c>
      <c r="N1640" s="3" t="s">
        <v>49</v>
      </c>
    </row>
    <row r="1641" spans="1:14" x14ac:dyDescent="0.3">
      <c r="A1641" s="36" t="s">
        <v>37</v>
      </c>
      <c r="B1641" s="13">
        <v>117</v>
      </c>
      <c r="C1641" s="48" t="str">
        <f t="shared" si="63"/>
        <v>P.L. 117-58</v>
      </c>
      <c r="D1641" s="3" t="s">
        <v>3005</v>
      </c>
      <c r="E1641" s="3" t="s">
        <v>3028</v>
      </c>
      <c r="F1641" s="3" t="s">
        <v>3029</v>
      </c>
      <c r="G1641" s="48" t="str">
        <f>HYPERLINK("https://uscode.house.gov/view.xhtml?req=granuleid:USC-prelim-title42-section300j-1&amp;num=0&amp;edition=prelim", "42 U.S.C. 300j-1(d)")</f>
        <v>42 U.S.C. 300j-1(d)</v>
      </c>
      <c r="H1641" s="46">
        <v>46295</v>
      </c>
      <c r="I1641" s="13">
        <v>2026</v>
      </c>
      <c r="J1641" s="47">
        <v>35000000</v>
      </c>
      <c r="K1641" s="16" t="s">
        <v>62</v>
      </c>
      <c r="L1641" s="3" t="s">
        <v>109</v>
      </c>
      <c r="M1641" s="3" t="s">
        <v>67</v>
      </c>
      <c r="N1641" s="3" t="s">
        <v>49</v>
      </c>
    </row>
    <row r="1642" spans="1:14" x14ac:dyDescent="0.3">
      <c r="A1642" s="36" t="s">
        <v>37</v>
      </c>
      <c r="B1642" s="13">
        <v>117</v>
      </c>
      <c r="C1642" s="48" t="str">
        <f t="shared" si="63"/>
        <v>P.L. 117-58</v>
      </c>
      <c r="D1642" s="3" t="s">
        <v>3005</v>
      </c>
      <c r="E1642" s="3" t="s">
        <v>3030</v>
      </c>
      <c r="F1642" s="3" t="s">
        <v>3031</v>
      </c>
      <c r="G1642" s="48" t="str">
        <f>HYPERLINK("https://uscode.house.gov/view.xhtml?req=granuleid:USC-prelim-title42-section300j-19a&amp;num=0&amp;edition=prelim", "42 U.S.C. 300j-19a")</f>
        <v>42 U.S.C. 300j-19a</v>
      </c>
      <c r="H1642" s="46">
        <v>46295</v>
      </c>
      <c r="I1642" s="13">
        <v>2026</v>
      </c>
      <c r="J1642" s="47">
        <v>140000000</v>
      </c>
      <c r="K1642" s="16" t="s">
        <v>62</v>
      </c>
      <c r="L1642" s="3" t="s">
        <v>60</v>
      </c>
      <c r="M1642" s="3" t="s">
        <v>67</v>
      </c>
      <c r="N1642" s="3" t="s">
        <v>49</v>
      </c>
    </row>
    <row r="1643" spans="1:14" x14ac:dyDescent="0.3">
      <c r="A1643" s="36" t="s">
        <v>37</v>
      </c>
      <c r="B1643" s="13">
        <v>117</v>
      </c>
      <c r="C1643" s="48" t="str">
        <f t="shared" si="63"/>
        <v>P.L. 117-58</v>
      </c>
      <c r="D1643" s="3" t="s">
        <v>3005</v>
      </c>
      <c r="E1643" s="3" t="s">
        <v>3032</v>
      </c>
      <c r="F1643" s="3" t="s">
        <v>3033</v>
      </c>
      <c r="G1643" s="48" t="str">
        <f>HYPERLINK("https://uscode.house.gov/view.xhtml?req=granuleid:USC-prelim-title42-section300j-19a&amp;num=0&amp;edition=prelim", "42 U.S.C. 300j-19a(l)(5)")</f>
        <v>42 U.S.C. 300j-19a(l)(5)</v>
      </c>
      <c r="H1643" s="46">
        <v>46295</v>
      </c>
      <c r="I1643" s="13">
        <v>2026</v>
      </c>
      <c r="J1643" s="47">
        <v>25000000</v>
      </c>
      <c r="K1643" s="16" t="s">
        <v>62</v>
      </c>
      <c r="L1643" s="3" t="s">
        <v>109</v>
      </c>
      <c r="M1643" s="3" t="s">
        <v>67</v>
      </c>
      <c r="N1643" s="3" t="s">
        <v>49</v>
      </c>
    </row>
    <row r="1644" spans="1:14" x14ac:dyDescent="0.3">
      <c r="A1644" s="36" t="s">
        <v>37</v>
      </c>
      <c r="B1644" s="13">
        <v>117</v>
      </c>
      <c r="C1644" s="48" t="str">
        <f t="shared" si="63"/>
        <v>P.L. 117-58</v>
      </c>
      <c r="D1644" s="3" t="s">
        <v>3005</v>
      </c>
      <c r="E1644" s="3" t="s">
        <v>3034</v>
      </c>
      <c r="F1644" s="3" t="s">
        <v>3035</v>
      </c>
      <c r="G1644" s="48" t="str">
        <f>HYPERLINK("https://uscode.house.gov/view.xhtml?req=granuleid:USC-prelim-title42-section300j-19a&amp;num=0&amp;edition=prelim", "42 U.S.C. 300j-19a(m)(6)")</f>
        <v>42 U.S.C. 300j-19a(m)(6)</v>
      </c>
      <c r="H1644" s="46">
        <v>46295</v>
      </c>
      <c r="I1644" s="13">
        <v>2026</v>
      </c>
      <c r="J1644" s="47">
        <v>20000000</v>
      </c>
      <c r="K1644" s="16" t="s">
        <v>62</v>
      </c>
      <c r="L1644" s="3" t="s">
        <v>47</v>
      </c>
      <c r="M1644" s="3" t="s">
        <v>67</v>
      </c>
      <c r="N1644" s="3" t="s">
        <v>49</v>
      </c>
    </row>
    <row r="1645" spans="1:14" x14ac:dyDescent="0.3">
      <c r="A1645" s="36" t="s">
        <v>37</v>
      </c>
      <c r="B1645" s="13">
        <v>117</v>
      </c>
      <c r="C1645" s="48" t="str">
        <f t="shared" si="63"/>
        <v>P.L. 117-58</v>
      </c>
      <c r="D1645" s="3" t="s">
        <v>3005</v>
      </c>
      <c r="E1645" s="3" t="s">
        <v>3036</v>
      </c>
      <c r="F1645" s="3" t="s">
        <v>3037</v>
      </c>
      <c r="G1645" s="48" t="str">
        <f>HYPERLINK("https://uscode.house.gov/view.xhtml?req=granuleid:USC-prelim-title42-section300j-19a&amp;num=0&amp;edition=prelim", "42 U.S.C. 300j-19a(n)(1)")</f>
        <v>42 U.S.C. 300j-19a(n)(1)</v>
      </c>
      <c r="H1645" s="46">
        <v>46295</v>
      </c>
      <c r="I1645" s="13">
        <v>2026</v>
      </c>
      <c r="J1645" s="47">
        <v>50000000</v>
      </c>
      <c r="K1645" s="16" t="s">
        <v>62</v>
      </c>
      <c r="L1645" s="3" t="s">
        <v>109</v>
      </c>
      <c r="M1645" s="3" t="s">
        <v>67</v>
      </c>
      <c r="N1645" s="3" t="s">
        <v>49</v>
      </c>
    </row>
    <row r="1646" spans="1:14" x14ac:dyDescent="0.3">
      <c r="A1646" s="36" t="s">
        <v>37</v>
      </c>
      <c r="B1646" s="13">
        <v>117</v>
      </c>
      <c r="C1646" s="48" t="str">
        <f t="shared" si="63"/>
        <v>P.L. 117-58</v>
      </c>
      <c r="D1646" s="3" t="s">
        <v>3005</v>
      </c>
      <c r="E1646" s="3" t="s">
        <v>3038</v>
      </c>
      <c r="F1646" s="3" t="s">
        <v>3039</v>
      </c>
      <c r="G1646" s="48" t="str">
        <f>HYPERLINK("https://uscode.house.gov/view.xhtml?req=granuleid:USC-prelim-title42-section300j-19f&amp;num=0&amp;edition=prelim", "42 U.S.C. 300j-19f")</f>
        <v>42 U.S.C. 300j-19f</v>
      </c>
      <c r="H1646" s="46">
        <v>46295</v>
      </c>
      <c r="I1646" s="13">
        <v>2026</v>
      </c>
      <c r="J1646" s="47">
        <v>50000000</v>
      </c>
      <c r="K1646" s="16" t="s">
        <v>62</v>
      </c>
      <c r="L1646" s="3" t="s">
        <v>109</v>
      </c>
      <c r="M1646" s="3" t="s">
        <v>67</v>
      </c>
      <c r="N1646" s="3" t="s">
        <v>49</v>
      </c>
    </row>
    <row r="1647" spans="1:14" x14ac:dyDescent="0.3">
      <c r="A1647" s="36" t="s">
        <v>37</v>
      </c>
      <c r="B1647" s="13">
        <v>117</v>
      </c>
      <c r="C1647" s="48" t="str">
        <f t="shared" si="63"/>
        <v>P.L. 117-58</v>
      </c>
      <c r="D1647" s="3" t="s">
        <v>3005</v>
      </c>
      <c r="E1647" s="3" t="s">
        <v>3040</v>
      </c>
      <c r="F1647" s="3" t="s">
        <v>3041</v>
      </c>
      <c r="G1647" s="48" t="str">
        <f>HYPERLINK("https://uscode.house.gov/view.xhtml?req=granuleid:USC-prelim-title42-section300j-19g&amp;num=0&amp;edition=prelim", "42 U.S.C. 300j-19g(f)(1)")</f>
        <v>42 U.S.C. 300j-19g(f)(1)</v>
      </c>
      <c r="H1647" s="46">
        <v>46295</v>
      </c>
      <c r="I1647" s="13">
        <v>2026</v>
      </c>
      <c r="J1647" s="47">
        <v>50000000</v>
      </c>
      <c r="K1647" s="16" t="s">
        <v>62</v>
      </c>
      <c r="L1647" s="3" t="s">
        <v>109</v>
      </c>
      <c r="M1647" s="3" t="s">
        <v>67</v>
      </c>
      <c r="N1647" s="3" t="s">
        <v>49</v>
      </c>
    </row>
    <row r="1648" spans="1:14" x14ac:dyDescent="0.3">
      <c r="A1648" s="36" t="s">
        <v>37</v>
      </c>
      <c r="B1648" s="13">
        <v>117</v>
      </c>
      <c r="C1648" s="48" t="str">
        <f t="shared" si="63"/>
        <v>P.L. 117-58</v>
      </c>
      <c r="D1648" s="3" t="s">
        <v>3005</v>
      </c>
      <c r="E1648" s="3" t="s">
        <v>3042</v>
      </c>
      <c r="F1648" s="3" t="s">
        <v>3043</v>
      </c>
      <c r="G1648" s="48" t="str">
        <f>HYPERLINK("https://uscode.house.gov/view.xhtml?req=granuleid:USC-prelim-title33-section1302&amp;num=0&amp;edition=prelim", "33 U.S.C. 1302(e)")</f>
        <v>33 U.S.C. 1302(e)</v>
      </c>
      <c r="H1648" s="46">
        <v>46295</v>
      </c>
      <c r="I1648" s="13">
        <v>2026</v>
      </c>
      <c r="J1648" s="47">
        <v>20000000</v>
      </c>
      <c r="K1648" s="16" t="s">
        <v>62</v>
      </c>
      <c r="L1648" s="3" t="s">
        <v>109</v>
      </c>
      <c r="M1648" s="3" t="s">
        <v>67</v>
      </c>
      <c r="N1648" s="3" t="s">
        <v>49</v>
      </c>
    </row>
    <row r="1649" spans="1:14" x14ac:dyDescent="0.3">
      <c r="A1649" s="36" t="s">
        <v>37</v>
      </c>
      <c r="B1649" s="13">
        <v>117</v>
      </c>
      <c r="C1649" s="48" t="str">
        <f t="shared" si="63"/>
        <v>P.L. 117-58</v>
      </c>
      <c r="D1649" s="3" t="s">
        <v>3005</v>
      </c>
      <c r="E1649" s="3" t="s">
        <v>3044</v>
      </c>
      <c r="F1649" s="3" t="s">
        <v>3045</v>
      </c>
      <c r="G1649" s="48" t="str">
        <f>HYPERLINK("https://uscode.house.gov/view.xhtml?req=granuleid:USC-prelim-title33-section1301&amp;num=0&amp;edition=prelim", "33 U.S.C. 1301(f)")</f>
        <v>33 U.S.C. 1301(f)</v>
      </c>
      <c r="H1649" s="46">
        <v>46295</v>
      </c>
      <c r="I1649" s="13">
        <v>2026</v>
      </c>
      <c r="J1649" s="47">
        <v>280000000</v>
      </c>
      <c r="K1649" s="16" t="s">
        <v>62</v>
      </c>
      <c r="L1649" s="3" t="s">
        <v>109</v>
      </c>
      <c r="M1649" s="3" t="s">
        <v>67</v>
      </c>
      <c r="N1649" s="3" t="s">
        <v>49</v>
      </c>
    </row>
    <row r="1650" spans="1:14" x14ac:dyDescent="0.3">
      <c r="A1650" s="36" t="s">
        <v>37</v>
      </c>
      <c r="B1650" s="13">
        <v>117</v>
      </c>
      <c r="C1650" s="48" t="str">
        <f t="shared" si="63"/>
        <v>P.L. 117-58</v>
      </c>
      <c r="D1650" s="3" t="s">
        <v>3005</v>
      </c>
      <c r="E1650" s="3" t="s">
        <v>3046</v>
      </c>
      <c r="F1650" s="3" t="s">
        <v>3047</v>
      </c>
      <c r="G1650" s="48" t="str">
        <f>HYPERLINK("https://uscode.house.gov/view.xhtml?req=granuleid:USC-prelim-title33-section1302a&amp;num=0&amp;edition=prelim", "33 U.S.C. 1302a(g)")</f>
        <v>33 U.S.C. 1302a(g)</v>
      </c>
      <c r="H1650" s="46">
        <v>46295</v>
      </c>
      <c r="I1650" s="13">
        <v>2026</v>
      </c>
      <c r="J1650" s="47">
        <v>25000000</v>
      </c>
      <c r="K1650" s="16" t="s">
        <v>62</v>
      </c>
      <c r="L1650" s="3" t="s">
        <v>47</v>
      </c>
      <c r="M1650" s="3" t="s">
        <v>67</v>
      </c>
      <c r="N1650" s="3" t="s">
        <v>49</v>
      </c>
    </row>
    <row r="1651" spans="1:14" x14ac:dyDescent="0.3">
      <c r="A1651" s="36" t="s">
        <v>37</v>
      </c>
      <c r="B1651" s="13">
        <v>117</v>
      </c>
      <c r="C1651" s="48" t="str">
        <f t="shared" si="63"/>
        <v>P.L. 117-58</v>
      </c>
      <c r="D1651" s="3" t="s">
        <v>3005</v>
      </c>
      <c r="E1651" s="3" t="s">
        <v>3048</v>
      </c>
      <c r="F1651" s="3" t="s">
        <v>3049</v>
      </c>
      <c r="G1651" s="48" t="str">
        <f>HYPERLINK("https://uscode.house.gov/view.xhtml?req=granuleid:USC-prelim-title33-section1302b&amp;num=0&amp;edition=prelim", "33 U.S.C. 1302b(f)")</f>
        <v>33 U.S.C. 1302b(f)</v>
      </c>
      <c r="H1651" s="46">
        <v>46295</v>
      </c>
      <c r="I1651" s="13">
        <v>2026</v>
      </c>
      <c r="J1651" s="16" t="s">
        <v>12</v>
      </c>
      <c r="K1651" s="16" t="s">
        <v>62</v>
      </c>
      <c r="L1651" s="3" t="s">
        <v>47</v>
      </c>
      <c r="M1651" s="3" t="s">
        <v>67</v>
      </c>
      <c r="N1651" s="3" t="s">
        <v>49</v>
      </c>
    </row>
    <row r="1652" spans="1:14" x14ac:dyDescent="0.3">
      <c r="A1652" s="36" t="s">
        <v>37</v>
      </c>
      <c r="B1652" s="13">
        <v>117</v>
      </c>
      <c r="C1652" s="48" t="str">
        <f t="shared" si="63"/>
        <v>P.L. 117-58</v>
      </c>
      <c r="D1652" s="3" t="s">
        <v>3005</v>
      </c>
      <c r="E1652" s="3" t="s">
        <v>3050</v>
      </c>
      <c r="F1652" s="3" t="s">
        <v>3051</v>
      </c>
      <c r="G1652" s="48" t="str">
        <f>HYPERLINK("https://uscode.house.gov/view.xhtml?req=granuleid:USC-prelim-title33-section1302d&amp;num=0&amp;edition=prelim", "33 U.S.C. 1302d(e)")</f>
        <v>33 U.S.C. 1302d(e)</v>
      </c>
      <c r="H1652" s="46">
        <v>46295</v>
      </c>
      <c r="I1652" s="13">
        <v>2026</v>
      </c>
      <c r="J1652" s="47">
        <v>50000000</v>
      </c>
      <c r="K1652" s="16" t="s">
        <v>62</v>
      </c>
      <c r="L1652" s="3" t="s">
        <v>47</v>
      </c>
      <c r="M1652" s="3" t="s">
        <v>67</v>
      </c>
      <c r="N1652" s="3" t="s">
        <v>49</v>
      </c>
    </row>
    <row r="1653" spans="1:14" x14ac:dyDescent="0.3">
      <c r="A1653" s="36" t="s">
        <v>37</v>
      </c>
      <c r="B1653" s="13">
        <v>117</v>
      </c>
      <c r="C1653" s="48" t="str">
        <f t="shared" si="63"/>
        <v>P.L. 117-58</v>
      </c>
      <c r="D1653" s="3" t="s">
        <v>3005</v>
      </c>
      <c r="E1653" s="3" t="s">
        <v>3052</v>
      </c>
      <c r="F1653" s="3" t="s">
        <v>3053</v>
      </c>
      <c r="G1653" s="48" t="str">
        <f>HYPERLINK("https://uscode.house.gov/view.xhtml?req=granuleid:USC-prelim-title33-section1302e&amp;num=0&amp;edition=prelim", "33 U.S.C. 1302e(f)")</f>
        <v>33 U.S.C. 1302e(f)</v>
      </c>
      <c r="H1653" s="46">
        <v>46295</v>
      </c>
      <c r="I1653" s="13">
        <v>2026</v>
      </c>
      <c r="J1653" s="47">
        <v>40000000</v>
      </c>
      <c r="K1653" s="16" t="s">
        <v>62</v>
      </c>
      <c r="L1653" s="3" t="s">
        <v>47</v>
      </c>
      <c r="M1653" s="3" t="s">
        <v>67</v>
      </c>
      <c r="N1653" s="3" t="s">
        <v>49</v>
      </c>
    </row>
    <row r="1654" spans="1:14" x14ac:dyDescent="0.3">
      <c r="A1654" s="36" t="s">
        <v>37</v>
      </c>
      <c r="B1654" s="13">
        <v>117</v>
      </c>
      <c r="C1654" s="48" t="str">
        <f t="shared" si="63"/>
        <v>P.L. 117-58</v>
      </c>
      <c r="D1654" s="3" t="s">
        <v>3005</v>
      </c>
      <c r="E1654" s="3" t="s">
        <v>3054</v>
      </c>
      <c r="F1654" s="3" t="s">
        <v>3055</v>
      </c>
      <c r="G1654" s="48" t="str">
        <f>HYPERLINK("https://uscode.house.gov/view.xhtml?req=granuleid:USC-prelim-title42-section300j-19e&amp;num=0&amp;edition=prelim", "42 U.S.C. 300j-19e(b)(5)")</f>
        <v>42 U.S.C. 300j-19e(b)(5)</v>
      </c>
      <c r="H1654" s="46">
        <v>46295</v>
      </c>
      <c r="I1654" s="13">
        <v>2026</v>
      </c>
      <c r="J1654" s="47">
        <v>5000000</v>
      </c>
      <c r="K1654" s="16" t="s">
        <v>62</v>
      </c>
      <c r="L1654" s="3" t="s">
        <v>109</v>
      </c>
      <c r="M1654" s="3" t="s">
        <v>67</v>
      </c>
      <c r="N1654" s="3" t="s">
        <v>49</v>
      </c>
    </row>
    <row r="1655" spans="1:14" x14ac:dyDescent="0.3">
      <c r="A1655" s="36" t="s">
        <v>37</v>
      </c>
      <c r="B1655" s="13">
        <v>117</v>
      </c>
      <c r="C1655" s="48" t="str">
        <f t="shared" si="63"/>
        <v>P.L. 117-58</v>
      </c>
      <c r="D1655" s="3" t="s">
        <v>3005</v>
      </c>
      <c r="E1655" s="3" t="s">
        <v>3056</v>
      </c>
      <c r="F1655" s="3" t="s">
        <v>3057</v>
      </c>
      <c r="G1655" s="48" t="str">
        <f>HYPERLINK("https://uscode.house.gov/view.xhtml?req=granuleid:USC-prelim-title33-section1263a&amp;num=0&amp;edition=prelim", "33 U.S.C. 1263a(e)(3)")</f>
        <v>33 U.S.C. 1263a(e)(3)</v>
      </c>
      <c r="H1655" s="46">
        <v>46295</v>
      </c>
      <c r="I1655" s="13">
        <v>2026</v>
      </c>
      <c r="J1655" s="47">
        <v>60000000</v>
      </c>
      <c r="K1655" s="16" t="s">
        <v>62</v>
      </c>
      <c r="L1655" s="3" t="s">
        <v>109</v>
      </c>
      <c r="M1655" s="3" t="s">
        <v>67</v>
      </c>
      <c r="N1655" s="3" t="s">
        <v>49</v>
      </c>
    </row>
    <row r="1656" spans="1:14" x14ac:dyDescent="0.3">
      <c r="A1656" s="36" t="s">
        <v>37</v>
      </c>
      <c r="B1656" s="13">
        <v>117</v>
      </c>
      <c r="C1656" s="48" t="str">
        <f t="shared" si="63"/>
        <v>P.L. 117-58</v>
      </c>
      <c r="D1656" s="3" t="s">
        <v>3005</v>
      </c>
      <c r="E1656" s="3" t="s">
        <v>3058</v>
      </c>
      <c r="F1656" s="3" t="s">
        <v>3059</v>
      </c>
      <c r="G1656" s="48" t="str">
        <f>HYPERLINK("https://uscode.house.gov/view.xhtml?req=granuleid:USC-prelim-title33-section3912&amp;num=0&amp;edition=prelim", "33 U.S.C. 3912(a)(3)")</f>
        <v>33 U.S.C. 3912(a)(3)</v>
      </c>
      <c r="H1656" s="46">
        <v>46295</v>
      </c>
      <c r="I1656" s="13">
        <v>2026</v>
      </c>
      <c r="J1656" s="47">
        <v>50000000</v>
      </c>
      <c r="K1656" s="16" t="s">
        <v>62</v>
      </c>
      <c r="L1656" s="3" t="s">
        <v>109</v>
      </c>
      <c r="M1656" s="3" t="s">
        <v>67</v>
      </c>
      <c r="N1656" s="3" t="s">
        <v>49</v>
      </c>
    </row>
    <row r="1657" spans="1:14" x14ac:dyDescent="0.3">
      <c r="A1657" s="36" t="s">
        <v>37</v>
      </c>
      <c r="B1657" s="13">
        <v>117</v>
      </c>
      <c r="C1657" s="48" t="str">
        <f t="shared" si="63"/>
        <v>P.L. 117-58</v>
      </c>
      <c r="D1657" s="3" t="s">
        <v>3005</v>
      </c>
      <c r="E1657" s="3" t="s">
        <v>3060</v>
      </c>
      <c r="F1657" s="3" t="s">
        <v>3061</v>
      </c>
      <c r="G1657" s="48" t="str">
        <f>HYPERLINK("https://uscode.house.gov/view.xhtml?req=granuleid:USC-prelim-title42-section10303&amp;num=0&amp;edition=prelim", "42 U.S.C. 10303(f)(1)")</f>
        <v>42 U.S.C. 10303(f)(1)</v>
      </c>
      <c r="H1657" s="46">
        <v>45930</v>
      </c>
      <c r="I1657" s="13">
        <v>2025</v>
      </c>
      <c r="J1657" s="47">
        <v>12000000</v>
      </c>
      <c r="K1657" s="16" t="s">
        <v>62</v>
      </c>
      <c r="L1657" s="3" t="s">
        <v>47</v>
      </c>
      <c r="M1657" s="3" t="s">
        <v>67</v>
      </c>
      <c r="N1657" s="3" t="s">
        <v>58</v>
      </c>
    </row>
    <row r="1658" spans="1:14" x14ac:dyDescent="0.3">
      <c r="A1658" s="36" t="s">
        <v>37</v>
      </c>
      <c r="B1658" s="13">
        <v>117</v>
      </c>
      <c r="C1658" s="48" t="str">
        <f t="shared" si="63"/>
        <v>P.L. 117-58</v>
      </c>
      <c r="D1658" s="3" t="s">
        <v>3005</v>
      </c>
      <c r="E1658" s="3" t="s">
        <v>3062</v>
      </c>
      <c r="F1658" s="3" t="s">
        <v>3063</v>
      </c>
      <c r="G1658" s="48" t="str">
        <f>HYPERLINK("https://uscode.house.gov/view.xhtml?req=granuleid:USC-prelim-title42-section10303&amp;num=0&amp;edition=prelim", "42 U.S.C. 10303(g)(1)")</f>
        <v>42 U.S.C. 10303(g)(1)</v>
      </c>
      <c r="H1658" s="46">
        <v>45930</v>
      </c>
      <c r="I1658" s="13">
        <v>2025</v>
      </c>
      <c r="J1658" s="47">
        <v>3000000</v>
      </c>
      <c r="K1658" s="16" t="s">
        <v>62</v>
      </c>
      <c r="L1658" s="3" t="s">
        <v>47</v>
      </c>
      <c r="M1658" s="3" t="s">
        <v>67</v>
      </c>
      <c r="N1658" s="3" t="s">
        <v>58</v>
      </c>
    </row>
    <row r="1659" spans="1:14" x14ac:dyDescent="0.3">
      <c r="A1659" s="36" t="s">
        <v>37</v>
      </c>
      <c r="B1659" s="13">
        <v>117</v>
      </c>
      <c r="C1659" s="48" t="str">
        <f t="shared" si="63"/>
        <v>P.L. 117-58</v>
      </c>
      <c r="D1659" s="3" t="s">
        <v>3005</v>
      </c>
      <c r="E1659" s="3" t="s">
        <v>3064</v>
      </c>
      <c r="F1659" s="3" t="s">
        <v>3065</v>
      </c>
      <c r="G1659" s="48" t="str">
        <f>HYPERLINK("https://uscode.house.gov/view.xhtml?req=granuleid:USC-prelim-title42-section300j-19b&amp;num=0&amp;edition=prelim", "42 U.S.C. 300j-19b(d)")</f>
        <v>42 U.S.C. 300j-19b(d)</v>
      </c>
      <c r="H1659" s="46">
        <v>46295</v>
      </c>
      <c r="I1659" s="13">
        <v>2026</v>
      </c>
      <c r="J1659" s="47">
        <v>100000000</v>
      </c>
      <c r="K1659" s="16" t="s">
        <v>62</v>
      </c>
      <c r="L1659" s="3" t="s">
        <v>60</v>
      </c>
      <c r="M1659" s="3" t="s">
        <v>67</v>
      </c>
      <c r="N1659" s="3" t="s">
        <v>49</v>
      </c>
    </row>
    <row r="1660" spans="1:14" x14ac:dyDescent="0.3">
      <c r="A1660" s="36" t="s">
        <v>37</v>
      </c>
      <c r="B1660" s="13">
        <v>117</v>
      </c>
      <c r="C1660" s="48" t="str">
        <f t="shared" si="63"/>
        <v>P.L. 117-58</v>
      </c>
      <c r="D1660" s="3" t="s">
        <v>3005</v>
      </c>
      <c r="E1660" s="3" t="s">
        <v>3066</v>
      </c>
      <c r="F1660" s="3" t="s">
        <v>3067</v>
      </c>
      <c r="G1660" s="48" t="str">
        <f>HYPERLINK("https://uscode.house.gov/view.xhtml?req=granuleid:USC-prelim-title42-section300j-24&amp;num=0&amp;edition=prelim", "42 U.S.C. 300j-24(d)(8)")</f>
        <v>42 U.S.C. 300j-24(d)(8)</v>
      </c>
      <c r="H1660" s="46">
        <v>46295</v>
      </c>
      <c r="I1660" s="13">
        <v>2026</v>
      </c>
      <c r="J1660" s="47">
        <v>50000000</v>
      </c>
      <c r="K1660" s="16" t="s">
        <v>62</v>
      </c>
      <c r="L1660" s="3" t="s">
        <v>60</v>
      </c>
      <c r="M1660" s="3" t="s">
        <v>67</v>
      </c>
      <c r="N1660" s="3" t="s">
        <v>49</v>
      </c>
    </row>
    <row r="1661" spans="1:14" x14ac:dyDescent="0.3">
      <c r="A1661" s="36" t="s">
        <v>37</v>
      </c>
      <c r="B1661" s="13">
        <v>117</v>
      </c>
      <c r="C1661" s="48" t="str">
        <f t="shared" ref="C1661:C1692" si="64">HYPERLINK("https://uscode.house.gov/statutes/pl/117/58.pdf", "P.L. 117-58")</f>
        <v>P.L. 117-58</v>
      </c>
      <c r="D1661" s="3" t="s">
        <v>3005</v>
      </c>
      <c r="E1661" s="3" t="s">
        <v>3068</v>
      </c>
      <c r="F1661" s="3" t="s">
        <v>3069</v>
      </c>
      <c r="G1661" s="48" t="str">
        <f>HYPERLINK("https://uscode.house.gov/view.xhtml?req=granuleid:USC-prelim-title42-section300j-3c&amp;num=0&amp;edition=prelim", "42 U.S.C. 300j-3c(note)")</f>
        <v>42 U.S.C. 300j-3c(note)</v>
      </c>
      <c r="H1661" s="46">
        <v>46295</v>
      </c>
      <c r="I1661" s="13">
        <v>2026</v>
      </c>
      <c r="J1661" s="47">
        <v>50000000</v>
      </c>
      <c r="K1661" s="16" t="s">
        <v>62</v>
      </c>
      <c r="L1661" s="3" t="s">
        <v>109</v>
      </c>
      <c r="M1661" s="3" t="s">
        <v>67</v>
      </c>
      <c r="N1661" s="3" t="s">
        <v>49</v>
      </c>
    </row>
    <row r="1662" spans="1:14" x14ac:dyDescent="0.3">
      <c r="A1662" s="36" t="s">
        <v>37</v>
      </c>
      <c r="B1662" s="13">
        <v>117</v>
      </c>
      <c r="C1662" s="48" t="str">
        <f t="shared" si="64"/>
        <v>P.L. 117-58</v>
      </c>
      <c r="D1662" s="3" t="s">
        <v>3005</v>
      </c>
      <c r="E1662" s="3" t="s">
        <v>3070</v>
      </c>
      <c r="F1662" s="3" t="s">
        <v>3071</v>
      </c>
      <c r="G1662" s="48" t="str">
        <f>HYPERLINK("https://uscode.house.gov/view.xhtml?req=granuleid:USC-prelim-title42-section300j-19h&amp;num=0&amp;edition=prelim", "42 U.S.C. 300j-19h(b)(5)")</f>
        <v>42 U.S.C. 300j-19h(b)(5)</v>
      </c>
      <c r="H1662" s="46">
        <v>46295</v>
      </c>
      <c r="I1662" s="13">
        <v>2026</v>
      </c>
      <c r="J1662" s="47">
        <v>10000000</v>
      </c>
      <c r="K1662" s="16" t="s">
        <v>62</v>
      </c>
      <c r="L1662" s="3" t="s">
        <v>109</v>
      </c>
      <c r="M1662" s="3" t="s">
        <v>67</v>
      </c>
      <c r="N1662" s="3" t="s">
        <v>49</v>
      </c>
    </row>
    <row r="1663" spans="1:14" x14ac:dyDescent="0.3">
      <c r="A1663" s="36" t="s">
        <v>37</v>
      </c>
      <c r="B1663" s="13">
        <v>117</v>
      </c>
      <c r="C1663" s="48" t="str">
        <f t="shared" si="64"/>
        <v>P.L. 117-58</v>
      </c>
      <c r="D1663" s="3" t="s">
        <v>3005</v>
      </c>
      <c r="E1663" s="3" t="s">
        <v>3072</v>
      </c>
      <c r="F1663" s="3" t="s">
        <v>3073</v>
      </c>
      <c r="G1663" s="48" t="str">
        <f>HYPERLINK("https://uscode.house.gov/view.xhtml?req=granuleid:USC-prelim-title33-section1254&amp;num=0&amp;edition=prelim", "33 U.S.C. 1254(u)(8)")</f>
        <v>33 U.S.C. 1254(u)(8)</v>
      </c>
      <c r="H1663" s="46">
        <v>46295</v>
      </c>
      <c r="I1663" s="13">
        <v>2026</v>
      </c>
      <c r="J1663" s="47">
        <v>75000000</v>
      </c>
      <c r="K1663" s="16" t="s">
        <v>62</v>
      </c>
      <c r="L1663" s="3" t="s">
        <v>109</v>
      </c>
      <c r="M1663" s="3" t="s">
        <v>67</v>
      </c>
      <c r="N1663" s="3" t="s">
        <v>49</v>
      </c>
    </row>
    <row r="1664" spans="1:14" x14ac:dyDescent="0.3">
      <c r="A1664" s="36" t="s">
        <v>37</v>
      </c>
      <c r="B1664" s="13">
        <v>117</v>
      </c>
      <c r="C1664" s="48" t="str">
        <f t="shared" si="64"/>
        <v>P.L. 117-58</v>
      </c>
      <c r="D1664" s="3" t="s">
        <v>3005</v>
      </c>
      <c r="E1664" s="3" t="s">
        <v>3074</v>
      </c>
      <c r="F1664" s="3" t="s">
        <v>3075</v>
      </c>
      <c r="G1664" s="48" t="str">
        <f>HYPERLINK("https://uscode.house.gov/view.xhtml?req=granuleid:USC-prelim-title33-section1300&amp;num=0&amp;edition=prelim", "33 U.S.C. 1300(j)")</f>
        <v>33 U.S.C. 1300(j)</v>
      </c>
      <c r="H1664" s="46">
        <v>46295</v>
      </c>
      <c r="I1664" s="13">
        <v>2026</v>
      </c>
      <c r="J1664" s="47">
        <v>25000000</v>
      </c>
      <c r="K1664" s="16" t="s">
        <v>62</v>
      </c>
      <c r="L1664" s="3" t="s">
        <v>109</v>
      </c>
      <c r="M1664" s="3" t="s">
        <v>67</v>
      </c>
      <c r="N1664" s="3" t="s">
        <v>49</v>
      </c>
    </row>
    <row r="1665" spans="1:14" x14ac:dyDescent="0.3">
      <c r="A1665" s="36" t="s">
        <v>37</v>
      </c>
      <c r="B1665" s="13">
        <v>117</v>
      </c>
      <c r="C1665" s="48" t="str">
        <f t="shared" si="64"/>
        <v>P.L. 117-58</v>
      </c>
      <c r="D1665" s="3" t="s">
        <v>3005</v>
      </c>
      <c r="E1665" s="3" t="s">
        <v>3076</v>
      </c>
      <c r="F1665" s="3" t="s">
        <v>3077</v>
      </c>
      <c r="G1665" s="48" t="str">
        <f>HYPERLINK("https://uscode.house.gov/view.xhtml?req=granuleid:USC-prelim-title42-section18711&amp;num=0&amp;edition=prelim", "42 U.S.C. 18711")</f>
        <v>42 U.S.C. 18711</v>
      </c>
      <c r="H1665" s="46">
        <v>46295</v>
      </c>
      <c r="I1665" s="13">
        <v>2026</v>
      </c>
      <c r="J1665" s="47">
        <v>5000000000</v>
      </c>
      <c r="K1665" s="16" t="s">
        <v>62</v>
      </c>
      <c r="L1665" s="3" t="s">
        <v>60</v>
      </c>
      <c r="M1665" s="3" t="s">
        <v>48</v>
      </c>
      <c r="N1665" s="3" t="s">
        <v>58</v>
      </c>
    </row>
    <row r="1666" spans="1:14" x14ac:dyDescent="0.3">
      <c r="A1666" s="36" t="s">
        <v>37</v>
      </c>
      <c r="B1666" s="13">
        <v>117</v>
      </c>
      <c r="C1666" s="48" t="str">
        <f t="shared" si="64"/>
        <v>P.L. 117-58</v>
      </c>
      <c r="D1666" s="3" t="s">
        <v>3005</v>
      </c>
      <c r="E1666" s="3" t="s">
        <v>3078</v>
      </c>
      <c r="F1666" s="3" t="s">
        <v>3079</v>
      </c>
      <c r="G1666" s="48" t="str">
        <f>HYPERLINK("https://uscode.house.gov/view.xhtml?req=granuleid:USC-prelim-title42-section18712&amp;num=0&amp;edition=prelim", "42 U.S.C. 18712")</f>
        <v>42 U.S.C. 18712</v>
      </c>
      <c r="H1666" s="46">
        <v>46295</v>
      </c>
      <c r="I1666" s="13">
        <v>2026</v>
      </c>
      <c r="J1666" s="47">
        <v>5000000000</v>
      </c>
      <c r="K1666" s="16" t="s">
        <v>62</v>
      </c>
      <c r="L1666" s="3" t="s">
        <v>60</v>
      </c>
      <c r="M1666" s="3" t="s">
        <v>48</v>
      </c>
      <c r="N1666" s="3" t="s">
        <v>58</v>
      </c>
    </row>
    <row r="1667" spans="1:14" x14ac:dyDescent="0.3">
      <c r="A1667" s="36" t="s">
        <v>37</v>
      </c>
      <c r="B1667" s="13">
        <v>117</v>
      </c>
      <c r="C1667" s="48" t="str">
        <f t="shared" si="64"/>
        <v>P.L. 117-58</v>
      </c>
      <c r="D1667" s="3" t="s">
        <v>3005</v>
      </c>
      <c r="E1667" s="3" t="s">
        <v>3080</v>
      </c>
      <c r="F1667" s="3" t="s">
        <v>3081</v>
      </c>
      <c r="G1667" s="48" t="str">
        <f>HYPERLINK("https://uscode.house.gov/view.xhtml?req=granuleid:USC-prelim-title42-section18712&amp;num=0&amp;edition=prelim", "42 U.S.C. 18712")</f>
        <v>42 U.S.C. 18712</v>
      </c>
      <c r="H1667" s="46">
        <v>46295</v>
      </c>
      <c r="I1667" s="13">
        <v>2026</v>
      </c>
      <c r="J1667" s="47">
        <v>1000000000</v>
      </c>
      <c r="K1667" s="16" t="s">
        <v>62</v>
      </c>
      <c r="L1667" s="3" t="s">
        <v>60</v>
      </c>
      <c r="M1667" s="3" t="s">
        <v>48</v>
      </c>
      <c r="N1667" s="3" t="s">
        <v>58</v>
      </c>
    </row>
    <row r="1668" spans="1:14" x14ac:dyDescent="0.3">
      <c r="A1668" s="36" t="s">
        <v>37</v>
      </c>
      <c r="B1668" s="13">
        <v>117</v>
      </c>
      <c r="C1668" s="48" t="str">
        <f t="shared" si="64"/>
        <v>P.L. 117-58</v>
      </c>
      <c r="D1668" s="3" t="s">
        <v>3005</v>
      </c>
      <c r="E1668" s="3" t="s">
        <v>3082</v>
      </c>
      <c r="F1668" s="3" t="s">
        <v>3083</v>
      </c>
      <c r="G1668" s="48" t="str">
        <f>HYPERLINK("https://uscode.house.gov/view.xhtml?req=granuleid:USC-prelim-title42-section18713&amp;num=0&amp;edition=prelim", "42 U.S.C. 18713")</f>
        <v>42 U.S.C. 18713</v>
      </c>
      <c r="H1668" s="46">
        <v>46295</v>
      </c>
      <c r="I1668" s="13">
        <v>2026</v>
      </c>
      <c r="J1668" s="47">
        <v>10000000</v>
      </c>
      <c r="K1668" s="16" t="s">
        <v>62</v>
      </c>
      <c r="L1668" s="3" t="s">
        <v>60</v>
      </c>
      <c r="M1668" s="3" t="s">
        <v>48</v>
      </c>
      <c r="N1668" s="3" t="s">
        <v>58</v>
      </c>
    </row>
    <row r="1669" spans="1:14" x14ac:dyDescent="0.3">
      <c r="A1669" s="36" t="s">
        <v>37</v>
      </c>
      <c r="B1669" s="13">
        <v>117</v>
      </c>
      <c r="C1669" s="48" t="str">
        <f t="shared" si="64"/>
        <v>P.L. 117-58</v>
      </c>
      <c r="D1669" s="3" t="s">
        <v>3005</v>
      </c>
      <c r="E1669" s="3" t="s">
        <v>3084</v>
      </c>
      <c r="F1669" s="3" t="s">
        <v>3085</v>
      </c>
      <c r="G1669" s="48" t="str">
        <f>HYPERLINK("https://uscode.house.gov/view.xhtml?req=granuleid:USC-prelim-title42-section17386&amp;num=0&amp;edition=prelim", "42 U.S.C. 17386")</f>
        <v>42 U.S.C. 17386</v>
      </c>
      <c r="H1669" s="46">
        <v>44834</v>
      </c>
      <c r="I1669" s="13">
        <v>2022</v>
      </c>
      <c r="J1669" s="47">
        <v>3000000000</v>
      </c>
      <c r="K1669" s="16" t="s">
        <v>62</v>
      </c>
      <c r="L1669" s="3" t="s">
        <v>60</v>
      </c>
      <c r="M1669" s="3" t="s">
        <v>48</v>
      </c>
      <c r="N1669" s="3" t="s">
        <v>58</v>
      </c>
    </row>
    <row r="1670" spans="1:14" x14ac:dyDescent="0.3">
      <c r="A1670" s="36" t="s">
        <v>37</v>
      </c>
      <c r="B1670" s="13">
        <v>117</v>
      </c>
      <c r="C1670" s="48" t="str">
        <f t="shared" si="64"/>
        <v>P.L. 117-58</v>
      </c>
      <c r="D1670" s="3" t="s">
        <v>3005</v>
      </c>
      <c r="E1670" s="3" t="s">
        <v>3086</v>
      </c>
      <c r="F1670" s="3" t="s">
        <v>3087</v>
      </c>
      <c r="G1670" s="48" t="str">
        <f>HYPERLINK("https://uscode.house.gov/view.xhtml?req=granuleid:USC-prelim-title42-section6325&amp;num=0&amp;edition=prelim", "42 U.S.C. 6325(f)")</f>
        <v>42 U.S.C. 6325(f)</v>
      </c>
      <c r="H1670" s="46">
        <v>46295</v>
      </c>
      <c r="I1670" s="13">
        <v>2026</v>
      </c>
      <c r="J1670" s="47">
        <v>500000000</v>
      </c>
      <c r="K1670" s="16" t="s">
        <v>62</v>
      </c>
      <c r="L1670" s="3" t="s">
        <v>60</v>
      </c>
      <c r="M1670" s="3" t="s">
        <v>48</v>
      </c>
      <c r="N1670" s="3" t="s">
        <v>58</v>
      </c>
    </row>
    <row r="1671" spans="1:14" x14ac:dyDescent="0.3">
      <c r="A1671" s="36" t="s">
        <v>37</v>
      </c>
      <c r="B1671" s="13">
        <v>117</v>
      </c>
      <c r="C1671" s="48" t="str">
        <f t="shared" si="64"/>
        <v>P.L. 117-58</v>
      </c>
      <c r="D1671" s="3" t="s">
        <v>3005</v>
      </c>
      <c r="E1671" s="3" t="s">
        <v>3088</v>
      </c>
      <c r="F1671" s="3" t="s">
        <v>3089</v>
      </c>
      <c r="G1671" s="48" t="str">
        <f>HYPERLINK("https://uscode.house.gov/view.xhtml?req=granuleid:USC-prelim-title42-section18723&amp;num=0&amp;edition=prelim", "42 U.S.C. 18723")</f>
        <v>42 U.S.C. 18723</v>
      </c>
      <c r="H1671" s="46">
        <v>46295</v>
      </c>
      <c r="I1671" s="13">
        <v>2026</v>
      </c>
      <c r="J1671" s="47">
        <v>250000000</v>
      </c>
      <c r="K1671" s="16" t="s">
        <v>62</v>
      </c>
      <c r="L1671" s="3" t="s">
        <v>60</v>
      </c>
      <c r="M1671" s="3" t="s">
        <v>48</v>
      </c>
      <c r="N1671" s="3" t="s">
        <v>58</v>
      </c>
    </row>
    <row r="1672" spans="1:14" x14ac:dyDescent="0.3">
      <c r="A1672" s="36" t="s">
        <v>37</v>
      </c>
      <c r="B1672" s="13">
        <v>117</v>
      </c>
      <c r="C1672" s="48" t="str">
        <f t="shared" si="64"/>
        <v>P.L. 117-58</v>
      </c>
      <c r="D1672" s="3" t="s">
        <v>3005</v>
      </c>
      <c r="E1672" s="3" t="s">
        <v>3090</v>
      </c>
      <c r="F1672" s="3" t="s">
        <v>3091</v>
      </c>
      <c r="G1672" s="48" t="str">
        <f>HYPERLINK("https://uscode.house.gov/view.xhtml?req=granuleid:USC-prelim-title42-section18724&amp;num=0&amp;edition=prelim", "42 U.S.C. 18724")</f>
        <v>42 U.S.C. 18724</v>
      </c>
      <c r="H1672" s="46">
        <v>46295</v>
      </c>
      <c r="I1672" s="13">
        <v>2026</v>
      </c>
      <c r="J1672" s="47">
        <v>250000000</v>
      </c>
      <c r="K1672" s="16" t="s">
        <v>62</v>
      </c>
      <c r="L1672" s="3" t="s">
        <v>60</v>
      </c>
      <c r="M1672" s="3" t="s">
        <v>48</v>
      </c>
      <c r="N1672" s="3" t="s">
        <v>58</v>
      </c>
    </row>
    <row r="1673" spans="1:14" x14ac:dyDescent="0.3">
      <c r="A1673" s="36" t="s">
        <v>37</v>
      </c>
      <c r="B1673" s="13">
        <v>117</v>
      </c>
      <c r="C1673" s="48" t="str">
        <f t="shared" si="64"/>
        <v>P.L. 117-58</v>
      </c>
      <c r="D1673" s="3" t="s">
        <v>3005</v>
      </c>
      <c r="E1673" s="3" t="s">
        <v>3092</v>
      </c>
      <c r="F1673" s="3" t="s">
        <v>3093</v>
      </c>
      <c r="G1673" s="48" t="str">
        <f>HYPERLINK("https://uscode.house.gov/view.xhtml?req=granuleid:USC-prelim-title42-section18724&amp;num=0&amp;edition=prelim", "42 U.S.C. 18724")</f>
        <v>42 U.S.C. 18724</v>
      </c>
      <c r="H1673" s="46">
        <v>46295</v>
      </c>
      <c r="I1673" s="13">
        <v>2026</v>
      </c>
      <c r="J1673" s="47">
        <v>50000000</v>
      </c>
      <c r="K1673" s="16" t="s">
        <v>62</v>
      </c>
      <c r="L1673" s="3" t="s">
        <v>60</v>
      </c>
      <c r="M1673" s="3" t="s">
        <v>48</v>
      </c>
      <c r="N1673" s="3" t="s">
        <v>58</v>
      </c>
    </row>
    <row r="1674" spans="1:14" x14ac:dyDescent="0.3">
      <c r="A1674" s="36" t="s">
        <v>37</v>
      </c>
      <c r="B1674" s="13">
        <v>117</v>
      </c>
      <c r="C1674" s="48" t="str">
        <f t="shared" si="64"/>
        <v>P.L. 117-58</v>
      </c>
      <c r="D1674" s="3" t="s">
        <v>3005</v>
      </c>
      <c r="E1674" s="3" t="s">
        <v>3094</v>
      </c>
      <c r="F1674" s="3" t="s">
        <v>3095</v>
      </c>
      <c r="G1674" s="48" t="str">
        <f>HYPERLINK("https://uscode.house.gov/view.xhtml?req=granuleid:USC-prelim-title42-section18724&amp;num=0&amp;edition=prelim", "42 U.S.C. 18724")</f>
        <v>42 U.S.C. 18724</v>
      </c>
      <c r="H1674" s="46">
        <v>46295</v>
      </c>
      <c r="I1674" s="13">
        <v>2026</v>
      </c>
      <c r="J1674" s="47">
        <v>50000000</v>
      </c>
      <c r="K1674" s="16" t="s">
        <v>62</v>
      </c>
      <c r="L1674" s="3" t="s">
        <v>60</v>
      </c>
      <c r="M1674" s="3" t="s">
        <v>48</v>
      </c>
      <c r="N1674" s="3" t="s">
        <v>58</v>
      </c>
    </row>
    <row r="1675" spans="1:14" x14ac:dyDescent="0.3">
      <c r="A1675" s="36" t="s">
        <v>37</v>
      </c>
      <c r="B1675" s="13">
        <v>117</v>
      </c>
      <c r="C1675" s="48" t="str">
        <f t="shared" si="64"/>
        <v>P.L. 117-58</v>
      </c>
      <c r="D1675" s="3" t="s">
        <v>3005</v>
      </c>
      <c r="E1675" s="3" t="s">
        <v>3096</v>
      </c>
      <c r="F1675" s="3" t="s">
        <v>3097</v>
      </c>
      <c r="G1675" s="48" t="str">
        <f>HYPERLINK("https://uscode.house.gov/view.xhtml?req=granuleid:USC-prelim-title43-section311&amp;num=0&amp;edition=prelim", "43 U.S.C. 311")</f>
        <v>43 U.S.C. 311</v>
      </c>
      <c r="H1675" s="46">
        <v>46295</v>
      </c>
      <c r="I1675" s="13">
        <v>2026</v>
      </c>
      <c r="J1675" s="47">
        <v>320000000</v>
      </c>
      <c r="K1675" s="16" t="s">
        <v>62</v>
      </c>
      <c r="L1675" s="3" t="s">
        <v>47</v>
      </c>
      <c r="M1675" s="3" t="s">
        <v>48</v>
      </c>
      <c r="N1675" s="3" t="s">
        <v>49</v>
      </c>
    </row>
    <row r="1676" spans="1:14" x14ac:dyDescent="0.3">
      <c r="A1676" s="36" t="s">
        <v>37</v>
      </c>
      <c r="B1676" s="13">
        <v>117</v>
      </c>
      <c r="C1676" s="48" t="str">
        <f t="shared" si="64"/>
        <v>P.L. 117-58</v>
      </c>
      <c r="D1676" s="3" t="s">
        <v>3005</v>
      </c>
      <c r="E1676" s="3" t="s">
        <v>3098</v>
      </c>
      <c r="F1676" s="3" t="s">
        <v>3099</v>
      </c>
      <c r="G1676" s="48" t="str">
        <f>HYPERLINK("https://uscode.house.gov/view.xhtml?req=granuleid:USC-prelim-title43-section50&amp;num=0&amp;edition=prelim", "43 U.S.C. 50(e)")</f>
        <v>43 U.S.C. 50(e)</v>
      </c>
      <c r="H1676" s="46">
        <v>44834</v>
      </c>
      <c r="I1676" s="13">
        <v>2022</v>
      </c>
      <c r="J1676" s="47">
        <v>167000000</v>
      </c>
      <c r="K1676" s="16" t="s">
        <v>62</v>
      </c>
      <c r="L1676" s="3" t="s">
        <v>47</v>
      </c>
      <c r="M1676" s="3" t="s">
        <v>48</v>
      </c>
      <c r="N1676" s="3" t="s">
        <v>49</v>
      </c>
    </row>
    <row r="1677" spans="1:14" x14ac:dyDescent="0.3">
      <c r="A1677" s="36" t="s">
        <v>37</v>
      </c>
      <c r="B1677" s="13">
        <v>117</v>
      </c>
      <c r="C1677" s="48" t="str">
        <f t="shared" si="64"/>
        <v>P.L. 117-58</v>
      </c>
      <c r="D1677" s="3" t="s">
        <v>3005</v>
      </c>
      <c r="E1677" s="3" t="s">
        <v>3100</v>
      </c>
      <c r="F1677" s="3" t="s">
        <v>3101</v>
      </c>
      <c r="G1677" s="48" t="str">
        <f>HYPERLINK("https://uscode.house.gov/view.xhtml?req=granuleid:USC-prelim-title42-section13344&amp;num=0&amp;edition=prelim", "42 U.S.C. 13344")</f>
        <v>42 U.S.C. 13344</v>
      </c>
      <c r="H1677" s="46">
        <v>44834</v>
      </c>
      <c r="I1677" s="13">
        <v>2022</v>
      </c>
      <c r="J1677" s="47">
        <v>140000000</v>
      </c>
      <c r="K1677" s="16" t="s">
        <v>62</v>
      </c>
      <c r="L1677" s="3" t="s">
        <v>60</v>
      </c>
      <c r="M1677" s="3" t="s">
        <v>48</v>
      </c>
      <c r="N1677" s="3" t="s">
        <v>58</v>
      </c>
    </row>
    <row r="1678" spans="1:14" x14ac:dyDescent="0.3">
      <c r="A1678" s="36" t="s">
        <v>37</v>
      </c>
      <c r="B1678" s="13">
        <v>117</v>
      </c>
      <c r="C1678" s="48" t="str">
        <f t="shared" si="64"/>
        <v>P.L. 117-58</v>
      </c>
      <c r="D1678" s="3" t="s">
        <v>3005</v>
      </c>
      <c r="E1678" s="3" t="s">
        <v>3102</v>
      </c>
      <c r="F1678" s="3" t="s">
        <v>3103</v>
      </c>
      <c r="G1678" s="48" t="str">
        <f t="shared" ref="G1678:G1683" si="65">HYPERLINK("https://uscode.house.gov/view.xhtml?req=granuleid:USC-prelim-title42-section18741&amp;num=0&amp;edition=prelim", "42 U.S.C. 18741")</f>
        <v>42 U.S.C. 18741</v>
      </c>
      <c r="H1678" s="46">
        <v>46295</v>
      </c>
      <c r="I1678" s="13">
        <v>2026</v>
      </c>
      <c r="J1678" s="47">
        <v>3000000000</v>
      </c>
      <c r="K1678" s="16" t="s">
        <v>62</v>
      </c>
      <c r="L1678" s="3" t="s">
        <v>60</v>
      </c>
      <c r="M1678" s="3" t="s">
        <v>48</v>
      </c>
      <c r="N1678" s="3" t="s">
        <v>58</v>
      </c>
    </row>
    <row r="1679" spans="1:14" x14ac:dyDescent="0.3">
      <c r="A1679" s="36" t="s">
        <v>37</v>
      </c>
      <c r="B1679" s="13">
        <v>117</v>
      </c>
      <c r="C1679" s="48" t="str">
        <f t="shared" si="64"/>
        <v>P.L. 117-58</v>
      </c>
      <c r="D1679" s="3" t="s">
        <v>3005</v>
      </c>
      <c r="E1679" s="3" t="s">
        <v>3104</v>
      </c>
      <c r="F1679" s="3" t="s">
        <v>3105</v>
      </c>
      <c r="G1679" s="48" t="str">
        <f t="shared" si="65"/>
        <v>42 U.S.C. 18741</v>
      </c>
      <c r="H1679" s="46">
        <v>46295</v>
      </c>
      <c r="I1679" s="13">
        <v>2026</v>
      </c>
      <c r="J1679" s="47">
        <v>3000000000</v>
      </c>
      <c r="K1679" s="16" t="s">
        <v>62</v>
      </c>
      <c r="L1679" s="3" t="s">
        <v>60</v>
      </c>
      <c r="M1679" s="3" t="s">
        <v>48</v>
      </c>
      <c r="N1679" s="3" t="s">
        <v>58</v>
      </c>
    </row>
    <row r="1680" spans="1:14" x14ac:dyDescent="0.3">
      <c r="A1680" s="36" t="s">
        <v>37</v>
      </c>
      <c r="B1680" s="13">
        <v>117</v>
      </c>
      <c r="C1680" s="48" t="str">
        <f t="shared" si="64"/>
        <v>P.L. 117-58</v>
      </c>
      <c r="D1680" s="3" t="s">
        <v>3005</v>
      </c>
      <c r="E1680" s="3" t="s">
        <v>3106</v>
      </c>
      <c r="F1680" s="3" t="s">
        <v>3107</v>
      </c>
      <c r="G1680" s="48" t="str">
        <f t="shared" si="65"/>
        <v>42 U.S.C. 18741</v>
      </c>
      <c r="H1680" s="46">
        <v>44834</v>
      </c>
      <c r="I1680" s="13">
        <v>2022</v>
      </c>
      <c r="J1680" s="47">
        <v>10000000</v>
      </c>
      <c r="K1680" s="16" t="s">
        <v>62</v>
      </c>
      <c r="L1680" s="3" t="s">
        <v>60</v>
      </c>
      <c r="M1680" s="3" t="s">
        <v>48</v>
      </c>
      <c r="N1680" s="3" t="s">
        <v>58</v>
      </c>
    </row>
    <row r="1681" spans="1:14" x14ac:dyDescent="0.3">
      <c r="A1681" s="36" t="s">
        <v>37</v>
      </c>
      <c r="B1681" s="13">
        <v>117</v>
      </c>
      <c r="C1681" s="48" t="str">
        <f t="shared" si="64"/>
        <v>P.L. 117-58</v>
      </c>
      <c r="D1681" s="3" t="s">
        <v>3005</v>
      </c>
      <c r="E1681" s="3" t="s">
        <v>3108</v>
      </c>
      <c r="F1681" s="3" t="s">
        <v>3109</v>
      </c>
      <c r="G1681" s="48" t="str">
        <f t="shared" si="65"/>
        <v>42 U.S.C. 18741</v>
      </c>
      <c r="H1681" s="46">
        <v>46295</v>
      </c>
      <c r="I1681" s="13">
        <v>2026</v>
      </c>
      <c r="J1681" s="47">
        <v>60000000</v>
      </c>
      <c r="K1681" s="16" t="s">
        <v>62</v>
      </c>
      <c r="L1681" s="3" t="s">
        <v>60</v>
      </c>
      <c r="M1681" s="3" t="s">
        <v>48</v>
      </c>
      <c r="N1681" s="3" t="s">
        <v>58</v>
      </c>
    </row>
    <row r="1682" spans="1:14" x14ac:dyDescent="0.3">
      <c r="A1682" s="36" t="s">
        <v>37</v>
      </c>
      <c r="B1682" s="13">
        <v>117</v>
      </c>
      <c r="C1682" s="48" t="str">
        <f t="shared" si="64"/>
        <v>P.L. 117-58</v>
      </c>
      <c r="D1682" s="3" t="s">
        <v>3005</v>
      </c>
      <c r="E1682" s="3" t="s">
        <v>3110</v>
      </c>
      <c r="F1682" s="3" t="s">
        <v>3111</v>
      </c>
      <c r="G1682" s="48" t="str">
        <f t="shared" si="65"/>
        <v>42 U.S.C. 18741</v>
      </c>
      <c r="H1682" s="46">
        <v>46295</v>
      </c>
      <c r="I1682" s="13">
        <v>2026</v>
      </c>
      <c r="J1682" s="47">
        <v>50000000</v>
      </c>
      <c r="K1682" s="16" t="s">
        <v>62</v>
      </c>
      <c r="L1682" s="3" t="s">
        <v>60</v>
      </c>
      <c r="M1682" s="3" t="s">
        <v>48</v>
      </c>
      <c r="N1682" s="3" t="s">
        <v>58</v>
      </c>
    </row>
    <row r="1683" spans="1:14" x14ac:dyDescent="0.3">
      <c r="A1683" s="36" t="s">
        <v>37</v>
      </c>
      <c r="B1683" s="13">
        <v>117</v>
      </c>
      <c r="C1683" s="48" t="str">
        <f t="shared" si="64"/>
        <v>P.L. 117-58</v>
      </c>
      <c r="D1683" s="3" t="s">
        <v>3005</v>
      </c>
      <c r="E1683" s="3" t="s">
        <v>3112</v>
      </c>
      <c r="F1683" s="3" t="s">
        <v>3113</v>
      </c>
      <c r="G1683" s="48" t="str">
        <f t="shared" si="65"/>
        <v>42 U.S.C. 18741</v>
      </c>
      <c r="H1683" s="46">
        <v>46295</v>
      </c>
      <c r="I1683" s="13">
        <v>2026</v>
      </c>
      <c r="J1683" s="47">
        <v>15000000</v>
      </c>
      <c r="K1683" s="16" t="s">
        <v>62</v>
      </c>
      <c r="L1683" s="3" t="s">
        <v>60</v>
      </c>
      <c r="M1683" s="3" t="s">
        <v>48</v>
      </c>
      <c r="N1683" s="3" t="s">
        <v>58</v>
      </c>
    </row>
    <row r="1684" spans="1:14" x14ac:dyDescent="0.3">
      <c r="A1684" s="36" t="s">
        <v>37</v>
      </c>
      <c r="B1684" s="13">
        <v>117</v>
      </c>
      <c r="C1684" s="48" t="str">
        <f t="shared" si="64"/>
        <v>P.L. 117-58</v>
      </c>
      <c r="D1684" s="3" t="s">
        <v>3005</v>
      </c>
      <c r="E1684" s="3" t="s">
        <v>3114</v>
      </c>
      <c r="F1684" s="3" t="s">
        <v>3115</v>
      </c>
      <c r="G1684" s="48" t="str">
        <f>HYPERLINK("https://uscode.house.gov/view.xhtml?req=granuleid:USC-prelim-title42-section18742&amp;num=0&amp;edition=prelim", "42 U.S.C. 18742")</f>
        <v>42 U.S.C. 18742</v>
      </c>
      <c r="H1684" s="46">
        <v>46295</v>
      </c>
      <c r="I1684" s="13">
        <v>2026</v>
      </c>
      <c r="J1684" s="47">
        <v>750000000</v>
      </c>
      <c r="K1684" s="16" t="s">
        <v>62</v>
      </c>
      <c r="L1684" s="3" t="s">
        <v>60</v>
      </c>
      <c r="M1684" s="3" t="s">
        <v>48</v>
      </c>
      <c r="N1684" s="3" t="s">
        <v>58</v>
      </c>
    </row>
    <row r="1685" spans="1:14" x14ac:dyDescent="0.3">
      <c r="A1685" s="36" t="s">
        <v>37</v>
      </c>
      <c r="B1685" s="13">
        <v>117</v>
      </c>
      <c r="C1685" s="48" t="str">
        <f t="shared" si="64"/>
        <v>P.L. 117-58</v>
      </c>
      <c r="D1685" s="3" t="s">
        <v>3005</v>
      </c>
      <c r="E1685" s="3" t="s">
        <v>3116</v>
      </c>
      <c r="F1685" s="3" t="s">
        <v>3117</v>
      </c>
      <c r="G1685" s="48" t="str">
        <f>HYPERLINK("https://uscode.house.gov/view.xhtml?req=granuleid:USC-prelim-title42-section18743&amp;num=0&amp;edition=prelim", "42 U.S.C. 18743")</f>
        <v>42 U.S.C. 18743</v>
      </c>
      <c r="H1685" s="46">
        <v>45565</v>
      </c>
      <c r="I1685" s="13">
        <v>2024</v>
      </c>
      <c r="J1685" s="47">
        <v>100000000</v>
      </c>
      <c r="K1685" s="16" t="s">
        <v>62</v>
      </c>
      <c r="L1685" s="3" t="s">
        <v>60</v>
      </c>
      <c r="M1685" s="3" t="s">
        <v>48</v>
      </c>
      <c r="N1685" s="3" t="s">
        <v>58</v>
      </c>
    </row>
    <row r="1686" spans="1:14" x14ac:dyDescent="0.3">
      <c r="A1686" s="36" t="s">
        <v>37</v>
      </c>
      <c r="B1686" s="13">
        <v>117</v>
      </c>
      <c r="C1686" s="48" t="str">
        <f t="shared" si="64"/>
        <v>P.L. 117-58</v>
      </c>
      <c r="D1686" s="3" t="s">
        <v>3005</v>
      </c>
      <c r="E1686" s="3" t="s">
        <v>3118</v>
      </c>
      <c r="F1686" s="3" t="s">
        <v>3119</v>
      </c>
      <c r="G1686" s="48" t="str">
        <f>HYPERLINK("https://uscode.house.gov/view.xhtml?req=granuleid:USC-prelim-title42-section16291&amp;num=0&amp;edition=prelim", "42 U.S.C. 16291")</f>
        <v>42 U.S.C. 16291</v>
      </c>
      <c r="H1686" s="46">
        <v>44834</v>
      </c>
      <c r="I1686" s="13">
        <v>2022</v>
      </c>
      <c r="J1686" s="47">
        <v>69388000</v>
      </c>
      <c r="K1686" s="47">
        <v>50000000</v>
      </c>
      <c r="L1686" s="3" t="s">
        <v>60</v>
      </c>
      <c r="M1686" s="3" t="s">
        <v>48</v>
      </c>
      <c r="N1686" s="3" t="s">
        <v>58</v>
      </c>
    </row>
    <row r="1687" spans="1:14" x14ac:dyDescent="0.3">
      <c r="A1687" s="36" t="s">
        <v>37</v>
      </c>
      <c r="B1687" s="13">
        <v>117</v>
      </c>
      <c r="C1687" s="48" t="str">
        <f t="shared" si="64"/>
        <v>P.L. 117-58</v>
      </c>
      <c r="D1687" s="3" t="s">
        <v>3005</v>
      </c>
      <c r="E1687" s="3" t="s">
        <v>3120</v>
      </c>
      <c r="F1687" s="3" t="s">
        <v>3121</v>
      </c>
      <c r="G1687" s="48" t="str">
        <f>HYPERLINK("https://uscode.house.gov/view.xhtml?req=granuleid:USC-prelim-title42-section17231&amp;num=0&amp;edition=prelim", "42 U.S.C. 17231(p)(6)")</f>
        <v>42 U.S.C. 17231(p)(6)</v>
      </c>
      <c r="H1687" s="46">
        <v>46295</v>
      </c>
      <c r="I1687" s="13">
        <v>2026</v>
      </c>
      <c r="J1687" s="47">
        <v>200000000</v>
      </c>
      <c r="K1687" s="16" t="s">
        <v>62</v>
      </c>
      <c r="L1687" s="3" t="s">
        <v>60</v>
      </c>
      <c r="M1687" s="3" t="s">
        <v>48</v>
      </c>
      <c r="N1687" s="3" t="s">
        <v>58</v>
      </c>
    </row>
    <row r="1688" spans="1:14" x14ac:dyDescent="0.3">
      <c r="A1688" s="36" t="s">
        <v>37</v>
      </c>
      <c r="B1688" s="13">
        <v>117</v>
      </c>
      <c r="C1688" s="48" t="str">
        <f t="shared" si="64"/>
        <v>P.L. 117-58</v>
      </c>
      <c r="D1688" s="3" t="s">
        <v>3005</v>
      </c>
      <c r="E1688" s="3" t="s">
        <v>3122</v>
      </c>
      <c r="F1688" s="3" t="s">
        <v>3123</v>
      </c>
      <c r="G1688" s="48" t="str">
        <f>HYPERLINK("https://uscode.house.gov/view.xhtml?req=granuleid:USC-prelim-title42-section16292&amp;num=0&amp;edition=prelim", "42 U.S.C. 16292")</f>
        <v>42 U.S.C. 16292</v>
      </c>
      <c r="H1688" s="46">
        <v>46295</v>
      </c>
      <c r="I1688" s="13">
        <v>2026</v>
      </c>
      <c r="J1688" s="47">
        <v>100000000</v>
      </c>
      <c r="K1688" s="16" t="s">
        <v>62</v>
      </c>
      <c r="L1688" s="3" t="s">
        <v>60</v>
      </c>
      <c r="M1688" s="3" t="s">
        <v>48</v>
      </c>
      <c r="N1688" s="3" t="s">
        <v>58</v>
      </c>
    </row>
    <row r="1689" spans="1:14" x14ac:dyDescent="0.3">
      <c r="A1689" s="36" t="s">
        <v>37</v>
      </c>
      <c r="B1689" s="13">
        <v>117</v>
      </c>
      <c r="C1689" s="48" t="str">
        <f t="shared" si="64"/>
        <v>P.L. 117-58</v>
      </c>
      <c r="D1689" s="3" t="s">
        <v>3005</v>
      </c>
      <c r="E1689" s="3" t="s">
        <v>3124</v>
      </c>
      <c r="F1689" s="3" t="s">
        <v>3125</v>
      </c>
      <c r="G1689" s="48" t="str">
        <f>HYPERLINK("https://uscode.house.gov/view.xhtml?req=granuleid:USC-prelim-title42-section16378&amp;num=0&amp;edition=prelim", "42 U.S.C. 16378")</f>
        <v>42 U.S.C. 16378</v>
      </c>
      <c r="H1689" s="46">
        <v>46295</v>
      </c>
      <c r="I1689" s="13">
        <v>2026</v>
      </c>
      <c r="J1689" s="47">
        <v>300000000</v>
      </c>
      <c r="K1689" s="16" t="s">
        <v>62</v>
      </c>
      <c r="L1689" s="3" t="s">
        <v>60</v>
      </c>
      <c r="M1689" s="3" t="s">
        <v>48</v>
      </c>
      <c r="N1689" s="3" t="s">
        <v>58</v>
      </c>
    </row>
    <row r="1690" spans="1:14" x14ac:dyDescent="0.3">
      <c r="A1690" s="36" t="s">
        <v>37</v>
      </c>
      <c r="B1690" s="13">
        <v>117</v>
      </c>
      <c r="C1690" s="48" t="str">
        <f t="shared" si="64"/>
        <v>P.L. 117-58</v>
      </c>
      <c r="D1690" s="3" t="s">
        <v>3005</v>
      </c>
      <c r="E1690" s="3" t="s">
        <v>3126</v>
      </c>
      <c r="F1690" s="3" t="s">
        <v>3127</v>
      </c>
      <c r="G1690" s="48" t="str">
        <f>HYPERLINK("https://uscode.house.gov/view.xhtml?req=granuleid:USC-prelim-title42-section16293&amp;num=0&amp;edition=prelim", "42 U.S.C. 16293")</f>
        <v>42 U.S.C. 16293</v>
      </c>
      <c r="H1690" s="46">
        <v>46295</v>
      </c>
      <c r="I1690" s="13">
        <v>2026</v>
      </c>
      <c r="J1690" s="47">
        <v>2500000000</v>
      </c>
      <c r="K1690" s="16" t="s">
        <v>62</v>
      </c>
      <c r="L1690" s="3" t="s">
        <v>60</v>
      </c>
      <c r="M1690" s="3" t="s">
        <v>48</v>
      </c>
      <c r="N1690" s="3" t="s">
        <v>58</v>
      </c>
    </row>
    <row r="1691" spans="1:14" x14ac:dyDescent="0.3">
      <c r="A1691" s="36" t="s">
        <v>37</v>
      </c>
      <c r="B1691" s="13">
        <v>117</v>
      </c>
      <c r="C1691" s="48" t="str">
        <f t="shared" si="64"/>
        <v>P.L. 117-58</v>
      </c>
      <c r="D1691" s="3" t="s">
        <v>3005</v>
      </c>
      <c r="E1691" s="3" t="s">
        <v>3128</v>
      </c>
      <c r="F1691" s="3" t="s">
        <v>3129</v>
      </c>
      <c r="G1691" s="48" t="str">
        <f>HYPERLINK("https://uscode.house.gov/view.xhtml?req=granuleid:USC-prelim-title42-section300&amp;num=0&amp;edition=prelim", "42 U.S.C. 300(h)(9)")</f>
        <v>42 U.S.C. 300(h)(9)</v>
      </c>
      <c r="H1691" s="46">
        <v>46295</v>
      </c>
      <c r="I1691" s="13">
        <v>2026</v>
      </c>
      <c r="J1691" s="47">
        <v>5000000</v>
      </c>
      <c r="K1691" s="16" t="s">
        <v>62</v>
      </c>
      <c r="L1691" s="3" t="s">
        <v>47</v>
      </c>
      <c r="M1691" s="3" t="s">
        <v>48</v>
      </c>
      <c r="N1691" s="3" t="s">
        <v>49</v>
      </c>
    </row>
    <row r="1692" spans="1:14" x14ac:dyDescent="0.3">
      <c r="A1692" s="36" t="s">
        <v>37</v>
      </c>
      <c r="B1692" s="13">
        <v>117</v>
      </c>
      <c r="C1692" s="48" t="str">
        <f t="shared" si="64"/>
        <v>P.L. 117-58</v>
      </c>
      <c r="D1692" s="3" t="s">
        <v>3005</v>
      </c>
      <c r="E1692" s="3" t="s">
        <v>3130</v>
      </c>
      <c r="F1692" s="3" t="s">
        <v>3131</v>
      </c>
      <c r="G1692" s="48" t="str">
        <f>HYPERLINK("https://uscode.house.gov/view.xhtml?req=granuleid:USC-prelim-title42-section300h-9&amp;num=0&amp;edition=prelim", "42 U.S.C. 300h-9(c)(3)")</f>
        <v>42 U.S.C. 300h-9(c)(3)</v>
      </c>
      <c r="H1692" s="46">
        <v>46295</v>
      </c>
      <c r="I1692" s="13">
        <v>2026</v>
      </c>
      <c r="J1692" s="47">
        <v>50000000</v>
      </c>
      <c r="K1692" s="16" t="s">
        <v>62</v>
      </c>
      <c r="L1692" s="3" t="s">
        <v>47</v>
      </c>
      <c r="M1692" s="3" t="s">
        <v>48</v>
      </c>
      <c r="N1692" s="3" t="s">
        <v>49</v>
      </c>
    </row>
    <row r="1693" spans="1:14" x14ac:dyDescent="0.3">
      <c r="A1693" s="36" t="s">
        <v>37</v>
      </c>
      <c r="B1693" s="13">
        <v>117</v>
      </c>
      <c r="C1693" s="48" t="str">
        <f t="shared" ref="C1693:C1724" si="66">HYPERLINK("https://uscode.house.gov/statutes/pl/117/58.pdf", "P.L. 117-58")</f>
        <v>P.L. 117-58</v>
      </c>
      <c r="D1693" s="3" t="s">
        <v>3005</v>
      </c>
      <c r="E1693" s="3" t="s">
        <v>3132</v>
      </c>
      <c r="F1693" s="3" t="s">
        <v>3133</v>
      </c>
      <c r="G1693" s="48" t="str">
        <f>HYPERLINK("https://uscode.house.gov/view.xhtml?req=granuleid:USC-prelim-title42-section16298d&amp;num=0&amp;edition=prelim", "42 U.S.C. 16298d(j)(4)")</f>
        <v>42 U.S.C. 16298d(j)(4)</v>
      </c>
      <c r="H1693" s="46">
        <v>46295</v>
      </c>
      <c r="I1693" s="13">
        <v>2026</v>
      </c>
      <c r="J1693" s="47">
        <v>3500000000</v>
      </c>
      <c r="K1693" s="16" t="s">
        <v>62</v>
      </c>
      <c r="L1693" s="3" t="s">
        <v>60</v>
      </c>
      <c r="M1693" s="3" t="s">
        <v>48</v>
      </c>
      <c r="N1693" s="3" t="s">
        <v>58</v>
      </c>
    </row>
    <row r="1694" spans="1:14" x14ac:dyDescent="0.3">
      <c r="A1694" s="36" t="s">
        <v>37</v>
      </c>
      <c r="B1694" s="13">
        <v>117</v>
      </c>
      <c r="C1694" s="48" t="str">
        <f t="shared" si="66"/>
        <v>P.L. 117-58</v>
      </c>
      <c r="D1694" s="3" t="s">
        <v>3005</v>
      </c>
      <c r="E1694" s="3" t="s">
        <v>3134</v>
      </c>
      <c r="F1694" s="3" t="s">
        <v>3135</v>
      </c>
      <c r="G1694" s="48" t="str">
        <f>HYPERLINK("https://uscode.house.gov/view.xhtml?req=granuleid:USC-prelim-title42-section16161&amp;num=0&amp;edition=prelim", "42 U.S.C. 16161(a)")</f>
        <v>42 U.S.C. 16161(a)</v>
      </c>
      <c r="H1694" s="46">
        <v>46295</v>
      </c>
      <c r="I1694" s="13">
        <v>2026</v>
      </c>
      <c r="J1694" s="47">
        <v>8000000000</v>
      </c>
      <c r="K1694" s="16" t="s">
        <v>62</v>
      </c>
      <c r="L1694" s="3" t="s">
        <v>60</v>
      </c>
      <c r="M1694" s="3" t="s">
        <v>48</v>
      </c>
      <c r="N1694" s="3" t="s">
        <v>58</v>
      </c>
    </row>
    <row r="1695" spans="1:14" x14ac:dyDescent="0.3">
      <c r="A1695" s="36" t="s">
        <v>37</v>
      </c>
      <c r="B1695" s="13">
        <v>117</v>
      </c>
      <c r="C1695" s="48" t="str">
        <f t="shared" si="66"/>
        <v>P.L. 117-58</v>
      </c>
      <c r="D1695" s="3" t="s">
        <v>3005</v>
      </c>
      <c r="E1695" s="3" t="s">
        <v>3134</v>
      </c>
      <c r="F1695" s="3" t="s">
        <v>3136</v>
      </c>
      <c r="G1695" s="48" t="str">
        <f>HYPERLINK("https://uscode.house.gov/view.xhtml?req=granuleid:USC-prelim-title42-section16161&amp;num=0&amp;edition=prelim", "42 U.S.C. 16161(c)")</f>
        <v>42 U.S.C. 16161(c)</v>
      </c>
      <c r="H1695" s="46">
        <v>46295</v>
      </c>
      <c r="I1695" s="13">
        <v>2026</v>
      </c>
      <c r="J1695" s="47">
        <v>500000000</v>
      </c>
      <c r="K1695" s="16" t="s">
        <v>62</v>
      </c>
      <c r="L1695" s="3" t="s">
        <v>60</v>
      </c>
      <c r="M1695" s="3" t="s">
        <v>48</v>
      </c>
      <c r="N1695" s="3" t="s">
        <v>58</v>
      </c>
    </row>
    <row r="1696" spans="1:14" x14ac:dyDescent="0.3">
      <c r="A1696" s="36" t="s">
        <v>37</v>
      </c>
      <c r="B1696" s="13">
        <v>117</v>
      </c>
      <c r="C1696" s="48" t="str">
        <f t="shared" si="66"/>
        <v>P.L. 117-58</v>
      </c>
      <c r="D1696" s="3" t="s">
        <v>3005</v>
      </c>
      <c r="E1696" s="3" t="s">
        <v>3134</v>
      </c>
      <c r="F1696" s="3" t="s">
        <v>3137</v>
      </c>
      <c r="G1696" s="48" t="str">
        <f>HYPERLINK("https://uscode.house.gov/view.xhtml?req=granuleid:USC-prelim-title42-section16161&amp;num=0&amp;edition=prelim", "42 U.S.C. 16161(d)")</f>
        <v>42 U.S.C. 16161(d)</v>
      </c>
      <c r="H1696" s="46">
        <v>46295</v>
      </c>
      <c r="I1696" s="13">
        <v>2026</v>
      </c>
      <c r="J1696" s="47">
        <v>1000000000</v>
      </c>
      <c r="K1696" s="16" t="s">
        <v>62</v>
      </c>
      <c r="L1696" s="3" t="s">
        <v>60</v>
      </c>
      <c r="M1696" s="3" t="s">
        <v>48</v>
      </c>
      <c r="N1696" s="3" t="s">
        <v>58</v>
      </c>
    </row>
    <row r="1697" spans="1:14" x14ac:dyDescent="0.3">
      <c r="A1697" s="36" t="s">
        <v>37</v>
      </c>
      <c r="B1697" s="13">
        <v>117</v>
      </c>
      <c r="C1697" s="48" t="str">
        <f t="shared" si="66"/>
        <v>P.L. 117-58</v>
      </c>
      <c r="D1697" s="3" t="s">
        <v>3005</v>
      </c>
      <c r="E1697" s="3" t="s">
        <v>3138</v>
      </c>
      <c r="F1697" s="3" t="s">
        <v>3139</v>
      </c>
      <c r="G1697" s="48" t="str">
        <f>HYPERLINK("https://uscode.house.gov/view.xhtml?req=granuleid:USC-prelim-title42-section18753&amp;num=0&amp;edition=prelim", "42 U.S.C. 18753")</f>
        <v>42 U.S.C. 18753</v>
      </c>
      <c r="H1697" s="46">
        <v>46295</v>
      </c>
      <c r="I1697" s="13">
        <v>2026</v>
      </c>
      <c r="J1697" s="47">
        <v>6000000000</v>
      </c>
      <c r="K1697" s="16" t="s">
        <v>62</v>
      </c>
      <c r="L1697" s="3" t="s">
        <v>60</v>
      </c>
      <c r="M1697" s="3" t="s">
        <v>48</v>
      </c>
      <c r="N1697" s="3" t="s">
        <v>58</v>
      </c>
    </row>
    <row r="1698" spans="1:14" x14ac:dyDescent="0.3">
      <c r="A1698" s="36" t="s">
        <v>37</v>
      </c>
      <c r="B1698" s="13">
        <v>117</v>
      </c>
      <c r="C1698" s="48" t="str">
        <f t="shared" si="66"/>
        <v>P.L. 117-58</v>
      </c>
      <c r="D1698" s="3" t="s">
        <v>3005</v>
      </c>
      <c r="E1698" s="3" t="s">
        <v>3140</v>
      </c>
      <c r="F1698" s="3" t="s">
        <v>3141</v>
      </c>
      <c r="G1698" s="48" t="str">
        <f>HYPERLINK("https://uscode.house.gov/view.xhtml?req=granuleid:USC-prelim-title42-section15881&amp;num=0&amp;edition=prelim", "42 U.S.C. 15881(g)")</f>
        <v>42 U.S.C. 15881(g)</v>
      </c>
      <c r="H1698" s="46">
        <v>44834</v>
      </c>
      <c r="I1698" s="13">
        <v>2022</v>
      </c>
      <c r="J1698" s="47">
        <v>125000000</v>
      </c>
      <c r="K1698" s="47">
        <v>276800000</v>
      </c>
      <c r="L1698" s="3" t="s">
        <v>60</v>
      </c>
      <c r="M1698" s="3" t="s">
        <v>48</v>
      </c>
      <c r="N1698" s="3" t="s">
        <v>58</v>
      </c>
    </row>
    <row r="1699" spans="1:14" x14ac:dyDescent="0.3">
      <c r="A1699" s="36" t="s">
        <v>37</v>
      </c>
      <c r="B1699" s="13">
        <v>117</v>
      </c>
      <c r="C1699" s="48" t="str">
        <f t="shared" si="66"/>
        <v>P.L. 117-58</v>
      </c>
      <c r="D1699" s="3" t="s">
        <v>3005</v>
      </c>
      <c r="E1699" s="3" t="s">
        <v>3142</v>
      </c>
      <c r="F1699" s="3" t="s">
        <v>3143</v>
      </c>
      <c r="G1699" s="48" t="str">
        <f>HYPERLINK("https://uscode.house.gov/view.xhtml?req=granuleid:USC-prelim-title42-section15882&amp;num=0&amp;edition=prelim", "42 U.S.C. 15882(c)")</f>
        <v>42 U.S.C. 15882(c)</v>
      </c>
      <c r="H1699" s="46">
        <v>44834</v>
      </c>
      <c r="I1699" s="13">
        <v>2022</v>
      </c>
      <c r="J1699" s="47">
        <v>75000000</v>
      </c>
      <c r="K1699" s="16" t="s">
        <v>62</v>
      </c>
      <c r="L1699" s="3" t="s">
        <v>60</v>
      </c>
      <c r="M1699" s="3" t="s">
        <v>48</v>
      </c>
      <c r="N1699" s="3" t="s">
        <v>58</v>
      </c>
    </row>
    <row r="1700" spans="1:14" x14ac:dyDescent="0.3">
      <c r="A1700" s="36" t="s">
        <v>37</v>
      </c>
      <c r="B1700" s="13">
        <v>117</v>
      </c>
      <c r="C1700" s="48" t="str">
        <f t="shared" si="66"/>
        <v>P.L. 117-58</v>
      </c>
      <c r="D1700" s="3" t="s">
        <v>3005</v>
      </c>
      <c r="E1700" s="3" t="s">
        <v>3144</v>
      </c>
      <c r="F1700" s="3" t="s">
        <v>3145</v>
      </c>
      <c r="G1700" s="48" t="str">
        <f>HYPERLINK("https://uscode.house.gov/view.xhtml?req=granuleid:USC-prelim-title42-section15883&amp;num=0&amp;edition=prelim", "42 U.S.C. 15883")</f>
        <v>42 U.S.C. 15883</v>
      </c>
      <c r="H1700" s="46">
        <v>44834</v>
      </c>
      <c r="I1700" s="13">
        <v>2022</v>
      </c>
      <c r="J1700" s="47">
        <v>553600000</v>
      </c>
      <c r="K1700" s="16" t="s">
        <v>62</v>
      </c>
      <c r="L1700" s="3" t="s">
        <v>60</v>
      </c>
      <c r="M1700" s="3" t="s">
        <v>48</v>
      </c>
      <c r="N1700" s="3" t="s">
        <v>58</v>
      </c>
    </row>
    <row r="1701" spans="1:14" x14ac:dyDescent="0.3">
      <c r="A1701" s="36" t="s">
        <v>37</v>
      </c>
      <c r="B1701" s="13">
        <v>117</v>
      </c>
      <c r="C1701" s="48" t="str">
        <f t="shared" si="66"/>
        <v>P.L. 117-58</v>
      </c>
      <c r="D1701" s="3" t="s">
        <v>3005</v>
      </c>
      <c r="E1701" s="3" t="s">
        <v>3146</v>
      </c>
      <c r="F1701" s="3" t="s">
        <v>3147</v>
      </c>
      <c r="G1701" s="48" t="str">
        <f>HYPERLINK("https://uscode.house.gov/view.xhtml?req=granuleid:USC-prelim-title42-section17232&amp;num=0&amp;edition=prelim", "42 U.S.C. 17232")</f>
        <v>42 U.S.C. 17232</v>
      </c>
      <c r="H1701" s="46">
        <v>46295</v>
      </c>
      <c r="I1701" s="13">
        <v>2026</v>
      </c>
      <c r="J1701" s="47">
        <v>2000000</v>
      </c>
      <c r="K1701" s="16" t="s">
        <v>62</v>
      </c>
      <c r="L1701" s="3" t="s">
        <v>60</v>
      </c>
      <c r="M1701" s="3" t="s">
        <v>48</v>
      </c>
      <c r="N1701" s="3" t="s">
        <v>58</v>
      </c>
    </row>
    <row r="1702" spans="1:14" x14ac:dyDescent="0.3">
      <c r="A1702" s="36" t="s">
        <v>37</v>
      </c>
      <c r="B1702" s="13">
        <v>117</v>
      </c>
      <c r="C1702" s="48" t="str">
        <f t="shared" si="66"/>
        <v>P.L. 117-58</v>
      </c>
      <c r="D1702" s="3" t="s">
        <v>3005</v>
      </c>
      <c r="E1702" s="3" t="s">
        <v>3148</v>
      </c>
      <c r="F1702" s="3" t="s">
        <v>3149</v>
      </c>
      <c r="G1702" s="48" t="str">
        <f>HYPERLINK("https://uscode.house.gov/view.xhtml?req=granuleid:USC-prelim-title42-section18761&amp;num=0&amp;edition=prelim", "42 U.S.C. 18761")</f>
        <v>42 U.S.C. 18761</v>
      </c>
      <c r="H1702" s="46">
        <v>46295</v>
      </c>
      <c r="I1702" s="13">
        <v>2026</v>
      </c>
      <c r="J1702" s="47">
        <v>500000000</v>
      </c>
      <c r="K1702" s="16" t="s">
        <v>62</v>
      </c>
      <c r="L1702" s="3" t="s">
        <v>60</v>
      </c>
      <c r="M1702" s="3" t="s">
        <v>48</v>
      </c>
      <c r="N1702" s="3" t="s">
        <v>58</v>
      </c>
    </row>
    <row r="1703" spans="1:14" x14ac:dyDescent="0.3">
      <c r="A1703" s="36" t="s">
        <v>37</v>
      </c>
      <c r="B1703" s="13">
        <v>117</v>
      </c>
      <c r="C1703" s="48" t="str">
        <f t="shared" si="66"/>
        <v>P.L. 117-58</v>
      </c>
      <c r="D1703" s="3" t="s">
        <v>3005</v>
      </c>
      <c r="E1703" s="3" t="s">
        <v>3150</v>
      </c>
      <c r="F1703" s="3" t="s">
        <v>3151</v>
      </c>
      <c r="G1703" s="48" t="str">
        <f>HYPERLINK("https://uscode.house.gov/view.xhtml?req=granuleid:USC-prelim-title42-section18792&amp;num=0&amp;edition=prelim", "42 U.S.C. 18792")</f>
        <v>42 U.S.C. 18792</v>
      </c>
      <c r="H1703" s="46">
        <v>44834</v>
      </c>
      <c r="I1703" s="13">
        <v>2022</v>
      </c>
      <c r="J1703" s="47">
        <v>250000000</v>
      </c>
      <c r="K1703" s="16" t="s">
        <v>62</v>
      </c>
      <c r="L1703" s="3" t="s">
        <v>60</v>
      </c>
      <c r="M1703" s="3" t="s">
        <v>48</v>
      </c>
      <c r="N1703" s="3" t="s">
        <v>58</v>
      </c>
    </row>
    <row r="1704" spans="1:14" x14ac:dyDescent="0.3">
      <c r="A1704" s="36" t="s">
        <v>37</v>
      </c>
      <c r="B1704" s="13">
        <v>117</v>
      </c>
      <c r="C1704" s="48" t="str">
        <f t="shared" si="66"/>
        <v>P.L. 117-58</v>
      </c>
      <c r="D1704" s="3" t="s">
        <v>3005</v>
      </c>
      <c r="E1704" s="3" t="s">
        <v>3152</v>
      </c>
      <c r="F1704" s="3" t="s">
        <v>3153</v>
      </c>
      <c r="G1704" s="48" t="str">
        <f>HYPERLINK("https://uscode.house.gov/view.xhtml?req=granuleid:USC-prelim-title42-section18793&amp;num=0&amp;edition=prelim", "42 U.S.C. 18793")</f>
        <v>42 U.S.C. 18793</v>
      </c>
      <c r="H1704" s="46">
        <v>46295</v>
      </c>
      <c r="I1704" s="13">
        <v>2026</v>
      </c>
      <c r="J1704" s="47">
        <v>40000000</v>
      </c>
      <c r="K1704" s="16" t="s">
        <v>62</v>
      </c>
      <c r="L1704" s="3" t="s">
        <v>60</v>
      </c>
      <c r="M1704" s="3" t="s">
        <v>48</v>
      </c>
      <c r="N1704" s="3" t="s">
        <v>58</v>
      </c>
    </row>
    <row r="1705" spans="1:14" x14ac:dyDescent="0.3">
      <c r="A1705" s="36" t="s">
        <v>37</v>
      </c>
      <c r="B1705" s="13">
        <v>117</v>
      </c>
      <c r="C1705" s="48" t="str">
        <f t="shared" si="66"/>
        <v>P.L. 117-58</v>
      </c>
      <c r="D1705" s="3" t="s">
        <v>3005</v>
      </c>
      <c r="E1705" s="3" t="s">
        <v>3154</v>
      </c>
      <c r="F1705" s="3" t="s">
        <v>3155</v>
      </c>
      <c r="G1705" s="48" t="str">
        <f>HYPERLINK("https://uscode.house.gov/view.xhtml?req=granuleid:USC-prelim-title42-section6838&amp;num=0&amp;edition=prelim", "42 U.S.C. 6838")</f>
        <v>42 U.S.C. 6838</v>
      </c>
      <c r="H1705" s="46">
        <v>46295</v>
      </c>
      <c r="I1705" s="13">
        <v>2026</v>
      </c>
      <c r="J1705" s="47">
        <v>225000000</v>
      </c>
      <c r="K1705" s="16" t="s">
        <v>62</v>
      </c>
      <c r="L1705" s="3" t="s">
        <v>60</v>
      </c>
      <c r="M1705" s="3" t="s">
        <v>48</v>
      </c>
      <c r="N1705" s="3" t="s">
        <v>58</v>
      </c>
    </row>
    <row r="1706" spans="1:14" x14ac:dyDescent="0.3">
      <c r="A1706" s="36" t="s">
        <v>37</v>
      </c>
      <c r="B1706" s="13">
        <v>117</v>
      </c>
      <c r="C1706" s="48" t="str">
        <f t="shared" si="66"/>
        <v>P.L. 117-58</v>
      </c>
      <c r="D1706" s="3" t="s">
        <v>3005</v>
      </c>
      <c r="E1706" s="3" t="s">
        <v>3156</v>
      </c>
      <c r="F1706" s="3" t="s">
        <v>3157</v>
      </c>
      <c r="G1706" s="48" t="str">
        <f>HYPERLINK("https://uscode.house.gov/view.xhtml?req=granuleid:USC-prelim-title42-section18801&amp;num=0&amp;edition=prelim", "42 U.S.C. 18801")</f>
        <v>42 U.S.C. 18801</v>
      </c>
      <c r="H1706" s="46">
        <v>44834</v>
      </c>
      <c r="I1706" s="13">
        <v>2022</v>
      </c>
      <c r="J1706" s="47">
        <v>10000000</v>
      </c>
      <c r="K1706" s="16" t="s">
        <v>62</v>
      </c>
      <c r="L1706" s="3" t="s">
        <v>60</v>
      </c>
      <c r="M1706" s="3" t="s">
        <v>48</v>
      </c>
      <c r="N1706" s="3" t="s">
        <v>58</v>
      </c>
    </row>
    <row r="1707" spans="1:14" x14ac:dyDescent="0.3">
      <c r="A1707" s="36" t="s">
        <v>37</v>
      </c>
      <c r="B1707" s="13">
        <v>117</v>
      </c>
      <c r="C1707" s="48" t="str">
        <f t="shared" si="66"/>
        <v>P.L. 117-58</v>
      </c>
      <c r="D1707" s="3" t="s">
        <v>3005</v>
      </c>
      <c r="E1707" s="3" t="s">
        <v>3158</v>
      </c>
      <c r="F1707" s="3" t="s">
        <v>3159</v>
      </c>
      <c r="G1707" s="48" t="str">
        <f>HYPERLINK("https://uscode.house.gov/view.xhtml?req=granuleid:USC-prelim-title42-section18802&amp;num=0&amp;edition=prelim", "42 U.S.C. 18802")</f>
        <v>42 U.S.C. 18802</v>
      </c>
      <c r="H1707" s="46">
        <v>44834</v>
      </c>
      <c r="I1707" s="13">
        <v>2022</v>
      </c>
      <c r="J1707" s="47">
        <v>10000000</v>
      </c>
      <c r="K1707" s="16" t="s">
        <v>62</v>
      </c>
      <c r="L1707" s="3" t="s">
        <v>60</v>
      </c>
      <c r="M1707" s="3" t="s">
        <v>48</v>
      </c>
      <c r="N1707" s="3" t="s">
        <v>58</v>
      </c>
    </row>
    <row r="1708" spans="1:14" x14ac:dyDescent="0.3">
      <c r="A1708" s="36" t="s">
        <v>37</v>
      </c>
      <c r="B1708" s="13">
        <v>117</v>
      </c>
      <c r="C1708" s="48" t="str">
        <f t="shared" si="66"/>
        <v>P.L. 117-58</v>
      </c>
      <c r="D1708" s="3" t="s">
        <v>3005</v>
      </c>
      <c r="E1708" s="3" t="s">
        <v>3160</v>
      </c>
      <c r="F1708" s="3" t="s">
        <v>3161</v>
      </c>
      <c r="G1708" s="48" t="str">
        <f>HYPERLINK("https://uscode.house.gov/view.xhtml?req=granuleid:USC-prelim-title42-section17116&amp;num=0&amp;edition=prelim", "42 U.S.C. 17116")</f>
        <v>42 U.S.C. 17116</v>
      </c>
      <c r="H1708" s="46">
        <v>46295</v>
      </c>
      <c r="I1708" s="13">
        <v>2026</v>
      </c>
      <c r="J1708" s="47">
        <v>150000000</v>
      </c>
      <c r="K1708" s="16" t="s">
        <v>62</v>
      </c>
      <c r="L1708" s="3" t="s">
        <v>60</v>
      </c>
      <c r="M1708" s="3" t="s">
        <v>48</v>
      </c>
      <c r="N1708" s="3" t="s">
        <v>58</v>
      </c>
    </row>
    <row r="1709" spans="1:14" x14ac:dyDescent="0.3">
      <c r="A1709" s="36" t="s">
        <v>37</v>
      </c>
      <c r="B1709" s="13">
        <v>117</v>
      </c>
      <c r="C1709" s="48" t="str">
        <f t="shared" si="66"/>
        <v>P.L. 117-58</v>
      </c>
      <c r="D1709" s="3" t="s">
        <v>3005</v>
      </c>
      <c r="E1709" s="3" t="s">
        <v>3160</v>
      </c>
      <c r="F1709" s="3" t="s">
        <v>3162</v>
      </c>
      <c r="G1709" s="48" t="str">
        <f>HYPERLINK("https://uscode.house.gov/view.xhtml?req=granuleid:USC-prelim-title42-section17116&amp;num=0&amp;edition=prelim", "42 U.S.C. 17116")</f>
        <v>42 U.S.C. 17116</v>
      </c>
      <c r="H1709" s="46">
        <v>46295</v>
      </c>
      <c r="I1709" s="13">
        <v>2026</v>
      </c>
      <c r="J1709" s="47">
        <v>400000000</v>
      </c>
      <c r="K1709" s="16" t="s">
        <v>62</v>
      </c>
      <c r="L1709" s="3" t="s">
        <v>60</v>
      </c>
      <c r="M1709" s="3" t="s">
        <v>48</v>
      </c>
      <c r="N1709" s="3" t="s">
        <v>58</v>
      </c>
    </row>
    <row r="1710" spans="1:14" x14ac:dyDescent="0.3">
      <c r="A1710" s="36" t="s">
        <v>37</v>
      </c>
      <c r="B1710" s="13">
        <v>117</v>
      </c>
      <c r="C1710" s="48" t="str">
        <f t="shared" si="66"/>
        <v>P.L. 117-58</v>
      </c>
      <c r="D1710" s="3" t="s">
        <v>3005</v>
      </c>
      <c r="E1710" s="3" t="s">
        <v>3163</v>
      </c>
      <c r="F1710" s="3" t="s">
        <v>3164</v>
      </c>
      <c r="G1710" s="48" t="str">
        <f>HYPERLINK("https://uscode.house.gov/view.xhtml?req=granuleid:USC-prelim-title42-section18814&amp;num=0&amp;edition=prelim", "42 U.S.C. 18814")</f>
        <v>42 U.S.C. 18814</v>
      </c>
      <c r="H1710" s="46">
        <v>46295</v>
      </c>
      <c r="I1710" s="13">
        <v>2026</v>
      </c>
      <c r="J1710" s="47">
        <v>50000000</v>
      </c>
      <c r="K1710" s="16" t="s">
        <v>62</v>
      </c>
      <c r="L1710" s="3" t="s">
        <v>60</v>
      </c>
      <c r="M1710" s="3" t="s">
        <v>48</v>
      </c>
      <c r="N1710" s="3" t="s">
        <v>58</v>
      </c>
    </row>
    <row r="1711" spans="1:14" x14ac:dyDescent="0.3">
      <c r="A1711" s="36" t="s">
        <v>37</v>
      </c>
      <c r="B1711" s="13">
        <v>117</v>
      </c>
      <c r="C1711" s="48" t="str">
        <f t="shared" si="66"/>
        <v>P.L. 117-58</v>
      </c>
      <c r="D1711" s="3" t="s">
        <v>3005</v>
      </c>
      <c r="E1711" s="3" t="s">
        <v>3165</v>
      </c>
      <c r="F1711" s="3" t="s">
        <v>3166</v>
      </c>
      <c r="G1711" s="48" t="str">
        <f>HYPERLINK("https://uscode.house.gov/view.xhtml?req=granuleid:USC-prelim-title42-section18831&amp;num=0&amp;edition=prelim", "42 U.S.C. 18831")</f>
        <v>42 U.S.C. 18831</v>
      </c>
      <c r="H1711" s="46">
        <v>46295</v>
      </c>
      <c r="I1711" s="13">
        <v>2026</v>
      </c>
      <c r="J1711" s="47">
        <v>500000000</v>
      </c>
      <c r="K1711" s="16" t="s">
        <v>62</v>
      </c>
      <c r="L1711" s="3" t="s">
        <v>60</v>
      </c>
      <c r="M1711" s="3" t="s">
        <v>48</v>
      </c>
      <c r="N1711" s="3" t="s">
        <v>58</v>
      </c>
    </row>
    <row r="1712" spans="1:14" x14ac:dyDescent="0.3">
      <c r="A1712" s="36" t="s">
        <v>37</v>
      </c>
      <c r="B1712" s="13">
        <v>117</v>
      </c>
      <c r="C1712" s="48" t="str">
        <f t="shared" si="66"/>
        <v>P.L. 117-58</v>
      </c>
      <c r="D1712" s="3" t="s">
        <v>3005</v>
      </c>
      <c r="E1712" s="3" t="s">
        <v>3167</v>
      </c>
      <c r="F1712" s="3" t="s">
        <v>3168</v>
      </c>
      <c r="G1712" s="48" t="str">
        <f>HYPERLINK("https://uscode.house.gov/view.xhtml?req=granuleid:USC-prelim-title42-section18832&amp;num=0&amp;edition=prelim", "42 U.S.C. 18832")</f>
        <v>42 U.S.C. 18832</v>
      </c>
      <c r="H1712" s="46">
        <v>46295</v>
      </c>
      <c r="I1712" s="13">
        <v>2026</v>
      </c>
      <c r="J1712" s="47">
        <v>50000000</v>
      </c>
      <c r="K1712" s="16" t="s">
        <v>62</v>
      </c>
      <c r="L1712" s="3" t="s">
        <v>60</v>
      </c>
      <c r="M1712" s="3" t="s">
        <v>48</v>
      </c>
      <c r="N1712" s="3" t="s">
        <v>58</v>
      </c>
    </row>
    <row r="1713" spans="1:14" x14ac:dyDescent="0.3">
      <c r="A1713" s="36" t="s">
        <v>37</v>
      </c>
      <c r="B1713" s="13">
        <v>117</v>
      </c>
      <c r="C1713" s="48" t="str">
        <f t="shared" si="66"/>
        <v>P.L. 117-58</v>
      </c>
      <c r="D1713" s="3" t="s">
        <v>3005</v>
      </c>
      <c r="E1713" s="3" t="s">
        <v>3169</v>
      </c>
      <c r="F1713" s="3" t="s">
        <v>3170</v>
      </c>
      <c r="G1713" s="48" t="str">
        <f>HYPERLINK("https://uscode.house.gov/view.xhtml?req=granuleid:USC-prelim-title42-section17158&amp;num=0&amp;edition=prelim", "42 U.S.C. 17158(a)(1)")</f>
        <v>42 U.S.C. 17158(a)(1)</v>
      </c>
      <c r="H1713" s="46">
        <v>44834</v>
      </c>
      <c r="I1713" s="13">
        <v>2022</v>
      </c>
      <c r="J1713" s="47">
        <v>550000000</v>
      </c>
      <c r="K1713" s="16" t="s">
        <v>62</v>
      </c>
      <c r="L1713" s="3" t="s">
        <v>60</v>
      </c>
      <c r="M1713" s="3" t="s">
        <v>48</v>
      </c>
      <c r="N1713" s="3" t="s">
        <v>58</v>
      </c>
    </row>
    <row r="1714" spans="1:14" x14ac:dyDescent="0.3">
      <c r="A1714" s="36" t="s">
        <v>37</v>
      </c>
      <c r="B1714" s="13">
        <v>117</v>
      </c>
      <c r="C1714" s="48" t="str">
        <f t="shared" si="66"/>
        <v>P.L. 117-58</v>
      </c>
      <c r="D1714" s="3" t="s">
        <v>3005</v>
      </c>
      <c r="E1714" s="3" t="s">
        <v>3171</v>
      </c>
      <c r="F1714" s="3" t="s">
        <v>3172</v>
      </c>
      <c r="G1714" s="48" t="str">
        <f>HYPERLINK("https://uscode.house.gov/view.xhtml?req=granuleid:USC-prelim-title42-section6311&amp;num=0&amp;edition=prelim", "42 U.S.C. 6311(note)")</f>
        <v>42 U.S.C. 6311(note)</v>
      </c>
      <c r="H1714" s="46">
        <v>45199</v>
      </c>
      <c r="I1714" s="13">
        <v>2023</v>
      </c>
      <c r="J1714" s="47">
        <v>10000000</v>
      </c>
      <c r="K1714" s="16" t="s">
        <v>62</v>
      </c>
      <c r="L1714" s="3" t="s">
        <v>60</v>
      </c>
      <c r="M1714" s="3" t="s">
        <v>48</v>
      </c>
      <c r="N1714" s="3" t="s">
        <v>58</v>
      </c>
    </row>
    <row r="1715" spans="1:14" x14ac:dyDescent="0.3">
      <c r="A1715" s="36" t="s">
        <v>37</v>
      </c>
      <c r="B1715" s="13">
        <v>117</v>
      </c>
      <c r="C1715" s="48" t="str">
        <f t="shared" si="66"/>
        <v>P.L. 117-58</v>
      </c>
      <c r="D1715" s="3" t="s">
        <v>3005</v>
      </c>
      <c r="E1715" s="3" t="s">
        <v>3171</v>
      </c>
      <c r="F1715" s="3" t="s">
        <v>3173</v>
      </c>
      <c r="G1715" s="48" t="str">
        <f>HYPERLINK("https://uscode.house.gov/view.xhtml?req=granuleid:USC-prelim-title42-section6317&amp;num=0&amp;edition=prelim", "42 U.S.C. 6317(note)")</f>
        <v>42 U.S.C. 6317(note)</v>
      </c>
      <c r="H1715" s="46">
        <v>45199</v>
      </c>
      <c r="I1715" s="13">
        <v>2023</v>
      </c>
      <c r="J1715" s="47">
        <v>10000000</v>
      </c>
      <c r="K1715" s="16" t="s">
        <v>62</v>
      </c>
      <c r="L1715" s="3" t="s">
        <v>60</v>
      </c>
      <c r="M1715" s="3" t="s">
        <v>48</v>
      </c>
      <c r="N1715" s="3" t="s">
        <v>58</v>
      </c>
    </row>
    <row r="1716" spans="1:14" x14ac:dyDescent="0.3">
      <c r="A1716" s="36" t="s">
        <v>37</v>
      </c>
      <c r="B1716" s="13">
        <v>117</v>
      </c>
      <c r="C1716" s="48" t="str">
        <f t="shared" si="66"/>
        <v>P.L. 117-58</v>
      </c>
      <c r="D1716" s="3" t="s">
        <v>3005</v>
      </c>
      <c r="E1716" s="3" t="s">
        <v>3174</v>
      </c>
      <c r="F1716" s="3" t="s">
        <v>3175</v>
      </c>
      <c r="G1716" s="48" t="str">
        <f>HYPERLINK("https://uscode.house.gov/view.xhtml?req=granuleid:USC-prelim-title30-section1231&amp;num=0&amp;edition=prelim", "30 U.S.C. 1231(a)")</f>
        <v>30 U.S.C. 1231(a)</v>
      </c>
      <c r="H1716" s="46">
        <v>44834</v>
      </c>
      <c r="I1716" s="13">
        <v>2022</v>
      </c>
      <c r="J1716" s="47">
        <v>11293000000</v>
      </c>
      <c r="K1716" s="16" t="s">
        <v>62</v>
      </c>
      <c r="L1716" s="3" t="s">
        <v>47</v>
      </c>
      <c r="M1716" s="3" t="s">
        <v>48</v>
      </c>
      <c r="N1716" s="3" t="s">
        <v>49</v>
      </c>
    </row>
    <row r="1717" spans="1:14" x14ac:dyDescent="0.3">
      <c r="A1717" s="36" t="s">
        <v>37</v>
      </c>
      <c r="B1717" s="13">
        <v>117</v>
      </c>
      <c r="C1717" s="48" t="str">
        <f t="shared" si="66"/>
        <v>P.L. 117-58</v>
      </c>
      <c r="D1717" s="3" t="s">
        <v>3005</v>
      </c>
      <c r="E1717" s="3" t="s">
        <v>3176</v>
      </c>
      <c r="F1717" s="3" t="s">
        <v>3177</v>
      </c>
      <c r="G1717" s="48" t="str">
        <f t="shared" ref="G1717:G1731" si="67">HYPERLINK("https://uscode.house.gov/view.xhtml?req=granuleid:USC-prelim-title43-section3201&amp;num=0&amp;edition=prelim", "43 U.S.C. 3201")</f>
        <v>43 U.S.C. 3201</v>
      </c>
      <c r="H1717" s="46">
        <v>46295</v>
      </c>
      <c r="I1717" s="13">
        <v>2026</v>
      </c>
      <c r="J1717" s="47">
        <v>1050000000</v>
      </c>
      <c r="K1717" s="16" t="s">
        <v>62</v>
      </c>
      <c r="L1717" s="3" t="s">
        <v>47</v>
      </c>
      <c r="M1717" s="3" t="s">
        <v>48</v>
      </c>
      <c r="N1717" s="3" t="s">
        <v>58</v>
      </c>
    </row>
    <row r="1718" spans="1:14" x14ac:dyDescent="0.3">
      <c r="A1718" s="36" t="s">
        <v>37</v>
      </c>
      <c r="B1718" s="13">
        <v>117</v>
      </c>
      <c r="C1718" s="48" t="str">
        <f t="shared" si="66"/>
        <v>P.L. 117-58</v>
      </c>
      <c r="D1718" s="3" t="s">
        <v>3005</v>
      </c>
      <c r="E1718" s="3" t="s">
        <v>3176</v>
      </c>
      <c r="F1718" s="3" t="s">
        <v>3178</v>
      </c>
      <c r="G1718" s="48" t="str">
        <f t="shared" si="67"/>
        <v>43 U.S.C. 3201</v>
      </c>
      <c r="H1718" s="46">
        <v>46295</v>
      </c>
      <c r="I1718" s="13">
        <v>2026</v>
      </c>
      <c r="J1718" s="47">
        <v>100000000</v>
      </c>
      <c r="K1718" s="16" t="s">
        <v>62</v>
      </c>
      <c r="L1718" s="3" t="s">
        <v>47</v>
      </c>
      <c r="M1718" s="3" t="s">
        <v>48</v>
      </c>
      <c r="N1718" s="3" t="s">
        <v>58</v>
      </c>
    </row>
    <row r="1719" spans="1:14" x14ac:dyDescent="0.3">
      <c r="A1719" s="36" t="s">
        <v>37</v>
      </c>
      <c r="B1719" s="13">
        <v>117</v>
      </c>
      <c r="C1719" s="48" t="str">
        <f t="shared" si="66"/>
        <v>P.L. 117-58</v>
      </c>
      <c r="D1719" s="3" t="s">
        <v>3005</v>
      </c>
      <c r="E1719" s="3" t="s">
        <v>3176</v>
      </c>
      <c r="F1719" s="3" t="s">
        <v>3179</v>
      </c>
      <c r="G1719" s="48" t="str">
        <f t="shared" si="67"/>
        <v>43 U.S.C. 3201</v>
      </c>
      <c r="H1719" s="46">
        <v>46295</v>
      </c>
      <c r="I1719" s="13">
        <v>2026</v>
      </c>
      <c r="J1719" s="47">
        <v>100000000</v>
      </c>
      <c r="K1719" s="16" t="s">
        <v>62</v>
      </c>
      <c r="L1719" s="3" t="s">
        <v>47</v>
      </c>
      <c r="M1719" s="3" t="s">
        <v>48</v>
      </c>
      <c r="N1719" s="3" t="s">
        <v>58</v>
      </c>
    </row>
    <row r="1720" spans="1:14" x14ac:dyDescent="0.3">
      <c r="A1720" s="36" t="s">
        <v>37</v>
      </c>
      <c r="B1720" s="13">
        <v>117</v>
      </c>
      <c r="C1720" s="48" t="str">
        <f t="shared" si="66"/>
        <v>P.L. 117-58</v>
      </c>
      <c r="D1720" s="3" t="s">
        <v>3005</v>
      </c>
      <c r="E1720" s="3" t="s">
        <v>3176</v>
      </c>
      <c r="F1720" s="3" t="s">
        <v>3180</v>
      </c>
      <c r="G1720" s="48" t="str">
        <f t="shared" si="67"/>
        <v>43 U.S.C. 3201</v>
      </c>
      <c r="H1720" s="46">
        <v>46295</v>
      </c>
      <c r="I1720" s="13">
        <v>2026</v>
      </c>
      <c r="J1720" s="47">
        <v>100000000</v>
      </c>
      <c r="K1720" s="16" t="s">
        <v>62</v>
      </c>
      <c r="L1720" s="3" t="s">
        <v>47</v>
      </c>
      <c r="M1720" s="3" t="s">
        <v>48</v>
      </c>
      <c r="N1720" s="3" t="s">
        <v>58</v>
      </c>
    </row>
    <row r="1721" spans="1:14" x14ac:dyDescent="0.3">
      <c r="A1721" s="36" t="s">
        <v>37</v>
      </c>
      <c r="B1721" s="13">
        <v>117</v>
      </c>
      <c r="C1721" s="48" t="str">
        <f t="shared" si="66"/>
        <v>P.L. 117-58</v>
      </c>
      <c r="D1721" s="3" t="s">
        <v>3005</v>
      </c>
      <c r="E1721" s="3" t="s">
        <v>3176</v>
      </c>
      <c r="F1721" s="3" t="s">
        <v>3181</v>
      </c>
      <c r="G1721" s="48" t="str">
        <f t="shared" si="67"/>
        <v>43 U.S.C. 3201</v>
      </c>
      <c r="H1721" s="46">
        <v>46295</v>
      </c>
      <c r="I1721" s="13">
        <v>2026</v>
      </c>
      <c r="J1721" s="47">
        <v>1000000000</v>
      </c>
      <c r="K1721" s="16" t="s">
        <v>62</v>
      </c>
      <c r="L1721" s="3" t="s">
        <v>47</v>
      </c>
      <c r="M1721" s="3" t="s">
        <v>48</v>
      </c>
      <c r="N1721" s="3" t="s">
        <v>58</v>
      </c>
    </row>
    <row r="1722" spans="1:14" x14ac:dyDescent="0.3">
      <c r="A1722" s="36" t="s">
        <v>37</v>
      </c>
      <c r="B1722" s="13">
        <v>117</v>
      </c>
      <c r="C1722" s="48" t="str">
        <f t="shared" si="66"/>
        <v>P.L. 117-58</v>
      </c>
      <c r="D1722" s="3" t="s">
        <v>3005</v>
      </c>
      <c r="E1722" s="3" t="s">
        <v>3176</v>
      </c>
      <c r="F1722" s="3" t="s">
        <v>3182</v>
      </c>
      <c r="G1722" s="48" t="str">
        <f t="shared" si="67"/>
        <v>43 U.S.C. 3201</v>
      </c>
      <c r="H1722" s="46">
        <v>46295</v>
      </c>
      <c r="I1722" s="13">
        <v>2026</v>
      </c>
      <c r="J1722" s="47">
        <v>550000000</v>
      </c>
      <c r="K1722" s="16" t="s">
        <v>62</v>
      </c>
      <c r="L1722" s="3" t="s">
        <v>47</v>
      </c>
      <c r="M1722" s="3" t="s">
        <v>48</v>
      </c>
      <c r="N1722" s="3" t="s">
        <v>58</v>
      </c>
    </row>
    <row r="1723" spans="1:14" x14ac:dyDescent="0.3">
      <c r="A1723" s="36" t="s">
        <v>37</v>
      </c>
      <c r="B1723" s="13">
        <v>117</v>
      </c>
      <c r="C1723" s="48" t="str">
        <f t="shared" si="66"/>
        <v>P.L. 117-58</v>
      </c>
      <c r="D1723" s="3" t="s">
        <v>3005</v>
      </c>
      <c r="E1723" s="3" t="s">
        <v>3176</v>
      </c>
      <c r="F1723" s="3" t="s">
        <v>3183</v>
      </c>
      <c r="G1723" s="48" t="str">
        <f t="shared" si="67"/>
        <v>43 U.S.C. 3201</v>
      </c>
      <c r="H1723" s="46">
        <v>46295</v>
      </c>
      <c r="I1723" s="13">
        <v>2026</v>
      </c>
      <c r="J1723" s="47">
        <v>450000000</v>
      </c>
      <c r="K1723" s="16" t="s">
        <v>62</v>
      </c>
      <c r="L1723" s="3" t="s">
        <v>47</v>
      </c>
      <c r="M1723" s="3" t="s">
        <v>48</v>
      </c>
      <c r="N1723" s="3" t="s">
        <v>58</v>
      </c>
    </row>
    <row r="1724" spans="1:14" x14ac:dyDescent="0.3">
      <c r="A1724" s="36" t="s">
        <v>37</v>
      </c>
      <c r="B1724" s="13">
        <v>117</v>
      </c>
      <c r="C1724" s="48" t="str">
        <f t="shared" si="66"/>
        <v>P.L. 117-58</v>
      </c>
      <c r="D1724" s="3" t="s">
        <v>3005</v>
      </c>
      <c r="E1724" s="3" t="s">
        <v>3176</v>
      </c>
      <c r="F1724" s="3" t="s">
        <v>3184</v>
      </c>
      <c r="G1724" s="48" t="str">
        <f t="shared" si="67"/>
        <v>43 U.S.C. 3201</v>
      </c>
      <c r="H1724" s="46">
        <v>46295</v>
      </c>
      <c r="I1724" s="13">
        <v>2026</v>
      </c>
      <c r="J1724" s="47">
        <v>250000000</v>
      </c>
      <c r="K1724" s="16" t="s">
        <v>62</v>
      </c>
      <c r="L1724" s="3" t="s">
        <v>47</v>
      </c>
      <c r="M1724" s="3" t="s">
        <v>48</v>
      </c>
      <c r="N1724" s="3" t="s">
        <v>58</v>
      </c>
    </row>
    <row r="1725" spans="1:14" x14ac:dyDescent="0.3">
      <c r="A1725" s="36" t="s">
        <v>37</v>
      </c>
      <c r="B1725" s="13">
        <v>117</v>
      </c>
      <c r="C1725" s="48" t="str">
        <f t="shared" ref="C1725:C1756" si="68">HYPERLINK("https://uscode.house.gov/statutes/pl/117/58.pdf", "P.L. 117-58")</f>
        <v>P.L. 117-58</v>
      </c>
      <c r="D1725" s="3" t="s">
        <v>3005</v>
      </c>
      <c r="E1725" s="3" t="s">
        <v>3176</v>
      </c>
      <c r="F1725" s="3" t="s">
        <v>3185</v>
      </c>
      <c r="G1725" s="48" t="str">
        <f t="shared" si="67"/>
        <v>43 U.S.C. 3201</v>
      </c>
      <c r="H1725" s="46">
        <v>46295</v>
      </c>
      <c r="I1725" s="13">
        <v>2026</v>
      </c>
      <c r="J1725" s="47">
        <v>500000000</v>
      </c>
      <c r="K1725" s="16" t="s">
        <v>62</v>
      </c>
      <c r="L1725" s="3" t="s">
        <v>47</v>
      </c>
      <c r="M1725" s="3" t="s">
        <v>48</v>
      </c>
      <c r="N1725" s="3" t="s">
        <v>58</v>
      </c>
    </row>
    <row r="1726" spans="1:14" x14ac:dyDescent="0.3">
      <c r="A1726" s="36" t="s">
        <v>37</v>
      </c>
      <c r="B1726" s="13">
        <v>117</v>
      </c>
      <c r="C1726" s="48" t="str">
        <f t="shared" si="68"/>
        <v>P.L. 117-58</v>
      </c>
      <c r="D1726" s="3" t="s">
        <v>3005</v>
      </c>
      <c r="E1726" s="3" t="s">
        <v>3176</v>
      </c>
      <c r="F1726" s="3" t="s">
        <v>3186</v>
      </c>
      <c r="G1726" s="48" t="str">
        <f t="shared" si="67"/>
        <v>43 U.S.C. 3201</v>
      </c>
      <c r="H1726" s="46">
        <v>46295</v>
      </c>
      <c r="I1726" s="13">
        <v>2026</v>
      </c>
      <c r="J1726" s="47">
        <v>400000000</v>
      </c>
      <c r="K1726" s="16" t="s">
        <v>62</v>
      </c>
      <c r="L1726" s="3" t="s">
        <v>47</v>
      </c>
      <c r="M1726" s="3" t="s">
        <v>48</v>
      </c>
      <c r="N1726" s="3" t="s">
        <v>58</v>
      </c>
    </row>
    <row r="1727" spans="1:14" x14ac:dyDescent="0.3">
      <c r="A1727" s="36" t="s">
        <v>37</v>
      </c>
      <c r="B1727" s="13">
        <v>117</v>
      </c>
      <c r="C1727" s="48" t="str">
        <f t="shared" si="68"/>
        <v>P.L. 117-58</v>
      </c>
      <c r="D1727" s="3" t="s">
        <v>3005</v>
      </c>
      <c r="E1727" s="3" t="s">
        <v>3176</v>
      </c>
      <c r="F1727" s="3" t="s">
        <v>3187</v>
      </c>
      <c r="G1727" s="48" t="str">
        <f t="shared" si="67"/>
        <v>43 U.S.C. 3201</v>
      </c>
      <c r="H1727" s="46">
        <v>46295</v>
      </c>
      <c r="I1727" s="13">
        <v>2026</v>
      </c>
      <c r="J1727" s="47">
        <v>300000000</v>
      </c>
      <c r="K1727" s="16" t="s">
        <v>62</v>
      </c>
      <c r="L1727" s="3" t="s">
        <v>47</v>
      </c>
      <c r="M1727" s="3" t="s">
        <v>48</v>
      </c>
      <c r="N1727" s="3" t="s">
        <v>58</v>
      </c>
    </row>
    <row r="1728" spans="1:14" x14ac:dyDescent="0.3">
      <c r="A1728" s="36" t="s">
        <v>37</v>
      </c>
      <c r="B1728" s="13">
        <v>117</v>
      </c>
      <c r="C1728" s="48" t="str">
        <f t="shared" si="68"/>
        <v>P.L. 117-58</v>
      </c>
      <c r="D1728" s="3" t="s">
        <v>3005</v>
      </c>
      <c r="E1728" s="3" t="s">
        <v>3176</v>
      </c>
      <c r="F1728" s="3" t="s">
        <v>3188</v>
      </c>
      <c r="G1728" s="48" t="str">
        <f t="shared" si="67"/>
        <v>43 U.S.C. 3201</v>
      </c>
      <c r="H1728" s="46">
        <v>46295</v>
      </c>
      <c r="I1728" s="13">
        <v>2026</v>
      </c>
      <c r="J1728" s="47">
        <v>100000000</v>
      </c>
      <c r="K1728" s="16" t="s">
        <v>62</v>
      </c>
      <c r="L1728" s="3" t="s">
        <v>47</v>
      </c>
      <c r="M1728" s="3" t="s">
        <v>48</v>
      </c>
      <c r="N1728" s="3" t="s">
        <v>58</v>
      </c>
    </row>
    <row r="1729" spans="1:14" x14ac:dyDescent="0.3">
      <c r="A1729" s="36" t="s">
        <v>37</v>
      </c>
      <c r="B1729" s="13">
        <v>117</v>
      </c>
      <c r="C1729" s="48" t="str">
        <f t="shared" si="68"/>
        <v>P.L. 117-58</v>
      </c>
      <c r="D1729" s="3" t="s">
        <v>3005</v>
      </c>
      <c r="E1729" s="3" t="s">
        <v>3176</v>
      </c>
      <c r="F1729" s="3" t="s">
        <v>3189</v>
      </c>
      <c r="G1729" s="48" t="str">
        <f t="shared" si="67"/>
        <v>43 U.S.C. 3201</v>
      </c>
      <c r="H1729" s="46">
        <v>46295</v>
      </c>
      <c r="I1729" s="13">
        <v>2026</v>
      </c>
      <c r="J1729" s="47">
        <v>250000000</v>
      </c>
      <c r="K1729" s="16" t="s">
        <v>62</v>
      </c>
      <c r="L1729" s="3" t="s">
        <v>47</v>
      </c>
      <c r="M1729" s="3" t="s">
        <v>48</v>
      </c>
      <c r="N1729" s="3" t="s">
        <v>58</v>
      </c>
    </row>
    <row r="1730" spans="1:14" x14ac:dyDescent="0.3">
      <c r="A1730" s="36" t="s">
        <v>37</v>
      </c>
      <c r="B1730" s="13">
        <v>117</v>
      </c>
      <c r="C1730" s="48" t="str">
        <f t="shared" si="68"/>
        <v>P.L. 117-58</v>
      </c>
      <c r="D1730" s="3" t="s">
        <v>3005</v>
      </c>
      <c r="E1730" s="3" t="s">
        <v>3176</v>
      </c>
      <c r="F1730" s="3" t="s">
        <v>3190</v>
      </c>
      <c r="G1730" s="48" t="str">
        <f t="shared" si="67"/>
        <v>43 U.S.C. 3201</v>
      </c>
      <c r="H1730" s="46">
        <v>46295</v>
      </c>
      <c r="I1730" s="13">
        <v>2026</v>
      </c>
      <c r="J1730" s="47">
        <v>100000000</v>
      </c>
      <c r="K1730" s="16" t="s">
        <v>62</v>
      </c>
      <c r="L1730" s="3" t="s">
        <v>47</v>
      </c>
      <c r="M1730" s="3" t="s">
        <v>48</v>
      </c>
      <c r="N1730" s="3" t="s">
        <v>58</v>
      </c>
    </row>
    <row r="1731" spans="1:14" x14ac:dyDescent="0.3">
      <c r="A1731" s="36" t="s">
        <v>37</v>
      </c>
      <c r="B1731" s="13">
        <v>117</v>
      </c>
      <c r="C1731" s="48" t="str">
        <f t="shared" si="68"/>
        <v>P.L. 117-58</v>
      </c>
      <c r="D1731" s="3" t="s">
        <v>3005</v>
      </c>
      <c r="E1731" s="3" t="s">
        <v>3176</v>
      </c>
      <c r="F1731" s="3" t="s">
        <v>3191</v>
      </c>
      <c r="G1731" s="48" t="str">
        <f t="shared" si="67"/>
        <v>43 U.S.C. 3201</v>
      </c>
      <c r="H1731" s="46">
        <v>46295</v>
      </c>
      <c r="I1731" s="13">
        <v>2026</v>
      </c>
      <c r="J1731" s="47">
        <v>50000000</v>
      </c>
      <c r="K1731" s="16" t="s">
        <v>62</v>
      </c>
      <c r="L1731" s="3" t="s">
        <v>47</v>
      </c>
      <c r="M1731" s="3" t="s">
        <v>48</v>
      </c>
      <c r="N1731" s="3" t="s">
        <v>58</v>
      </c>
    </row>
    <row r="1732" spans="1:14" x14ac:dyDescent="0.3">
      <c r="A1732" s="36" t="s">
        <v>37</v>
      </c>
      <c r="B1732" s="13">
        <v>117</v>
      </c>
      <c r="C1732" s="48" t="str">
        <f t="shared" si="68"/>
        <v>P.L. 117-58</v>
      </c>
      <c r="D1732" s="3" t="s">
        <v>3005</v>
      </c>
      <c r="E1732" s="3" t="s">
        <v>3192</v>
      </c>
      <c r="F1732" s="3" t="s">
        <v>3193</v>
      </c>
      <c r="G1732" s="48" t="str">
        <f>HYPERLINK("https://uscode.house.gov/view.xhtml?req=granuleid:USC-prelim-title42-section16279&amp;num=0&amp;edition=prelim", "42 U.S.C. 16279(a)")</f>
        <v>42 U.S.C. 16279(a)</v>
      </c>
      <c r="H1732" s="46">
        <v>46660</v>
      </c>
      <c r="I1732" s="13">
        <v>2027</v>
      </c>
      <c r="J1732" s="47">
        <v>281000000</v>
      </c>
      <c r="K1732" s="16" t="s">
        <v>62</v>
      </c>
      <c r="L1732" s="3" t="s">
        <v>60</v>
      </c>
      <c r="M1732" s="3" t="s">
        <v>48</v>
      </c>
      <c r="N1732" s="3" t="s">
        <v>58</v>
      </c>
    </row>
    <row r="1733" spans="1:14" x14ac:dyDescent="0.3">
      <c r="A1733" s="36" t="s">
        <v>37</v>
      </c>
      <c r="B1733" s="13">
        <v>117</v>
      </c>
      <c r="C1733" s="48" t="str">
        <f t="shared" si="68"/>
        <v>P.L. 117-58</v>
      </c>
      <c r="D1733" s="3" t="s">
        <v>3005</v>
      </c>
      <c r="E1733" s="3" t="s">
        <v>3194</v>
      </c>
      <c r="F1733" s="3" t="s">
        <v>2902</v>
      </c>
      <c r="G1733" s="48" t="str">
        <f>HYPERLINK("https://uscode.house.gov/view.xhtml?req=granuleid:USC-prelim-title42-section17232&amp;num=0&amp;edition=prelim", "42 U.S.C. 17232")</f>
        <v>42 U.S.C. 17232</v>
      </c>
      <c r="H1733" s="46">
        <v>45930</v>
      </c>
      <c r="I1733" s="13">
        <v>2025</v>
      </c>
      <c r="J1733" s="47">
        <v>355000000</v>
      </c>
      <c r="K1733" s="16" t="s">
        <v>62</v>
      </c>
      <c r="L1733" s="3" t="s">
        <v>60</v>
      </c>
      <c r="M1733" s="3" t="s">
        <v>48</v>
      </c>
      <c r="N1733" s="3" t="s">
        <v>58</v>
      </c>
    </row>
    <row r="1734" spans="1:14" x14ac:dyDescent="0.3">
      <c r="A1734" s="36" t="s">
        <v>37</v>
      </c>
      <c r="B1734" s="13">
        <v>117</v>
      </c>
      <c r="C1734" s="48" t="str">
        <f t="shared" si="68"/>
        <v>P.L. 117-58</v>
      </c>
      <c r="D1734" s="3" t="s">
        <v>3005</v>
      </c>
      <c r="E1734" s="3" t="s">
        <v>3195</v>
      </c>
      <c r="F1734" s="3" t="s">
        <v>2904</v>
      </c>
      <c r="G1734" s="48" t="str">
        <f>HYPERLINK("https://uscode.house.gov/view.xhtml?req=granuleid:USC-prelim-title42-section17232&amp;num=0&amp;edition=prelim", "42 U.S.C. 17232")</f>
        <v>42 U.S.C. 17232</v>
      </c>
      <c r="H1734" s="46">
        <v>45930</v>
      </c>
      <c r="I1734" s="13">
        <v>2025</v>
      </c>
      <c r="J1734" s="47">
        <v>150000000</v>
      </c>
      <c r="K1734" s="16" t="s">
        <v>62</v>
      </c>
      <c r="L1734" s="3" t="s">
        <v>60</v>
      </c>
      <c r="M1734" s="3" t="s">
        <v>48</v>
      </c>
      <c r="N1734" s="3" t="s">
        <v>58</v>
      </c>
    </row>
    <row r="1735" spans="1:14" x14ac:dyDescent="0.3">
      <c r="A1735" s="36" t="s">
        <v>37</v>
      </c>
      <c r="B1735" s="13">
        <v>117</v>
      </c>
      <c r="C1735" s="48" t="str">
        <f t="shared" si="68"/>
        <v>P.L. 117-58</v>
      </c>
      <c r="D1735" s="3" t="s">
        <v>3005</v>
      </c>
      <c r="E1735" s="3" t="s">
        <v>3196</v>
      </c>
      <c r="F1735" s="3" t="s">
        <v>3197</v>
      </c>
      <c r="G1735" s="48" t="str">
        <f>HYPERLINK("https://uscode.house.gov/view.xhtml?req=granuleid:USC-prelim-title42-section15908&amp;num=0&amp;edition=prelim", "42 U.S.C. 15908")</f>
        <v>42 U.S.C. 15908</v>
      </c>
      <c r="H1735" s="46">
        <v>46295</v>
      </c>
      <c r="I1735" s="13">
        <v>2026</v>
      </c>
      <c r="J1735" s="47">
        <v>27800000</v>
      </c>
      <c r="K1735" s="16" t="s">
        <v>62</v>
      </c>
      <c r="L1735" s="3" t="s">
        <v>60</v>
      </c>
      <c r="M1735" s="3" t="s">
        <v>48</v>
      </c>
      <c r="N1735" s="3" t="s">
        <v>58</v>
      </c>
    </row>
    <row r="1736" spans="1:14" x14ac:dyDescent="0.3">
      <c r="A1736" s="36" t="s">
        <v>37</v>
      </c>
      <c r="B1736" s="13">
        <v>117</v>
      </c>
      <c r="C1736" s="48" t="str">
        <f t="shared" si="68"/>
        <v>P.L. 117-58</v>
      </c>
      <c r="D1736" s="3" t="s">
        <v>3005</v>
      </c>
      <c r="E1736" s="3" t="s">
        <v>3198</v>
      </c>
      <c r="F1736" s="3" t="s">
        <v>3199</v>
      </c>
      <c r="G1736" s="48" t="str">
        <f>HYPERLINK("https://uscode.house.gov/view.xhtml?req=granuleid:USC-prelim-title30-section1606&amp;num=0&amp;edition=prelim", "30 U.S.C. 1606(h)(3)")</f>
        <v>30 U.S.C. 1606(h)(3)</v>
      </c>
      <c r="H1736" s="46">
        <v>45199</v>
      </c>
      <c r="I1736" s="13">
        <v>2023</v>
      </c>
      <c r="J1736" s="47">
        <v>35000000</v>
      </c>
      <c r="K1736" s="16" t="s">
        <v>62</v>
      </c>
      <c r="L1736" s="3" t="s">
        <v>60</v>
      </c>
      <c r="M1736" s="3" t="s">
        <v>48</v>
      </c>
      <c r="N1736" s="3" t="s">
        <v>58</v>
      </c>
    </row>
    <row r="1737" spans="1:14" x14ac:dyDescent="0.3">
      <c r="A1737" s="36" t="s">
        <v>37</v>
      </c>
      <c r="B1737" s="13">
        <v>117</v>
      </c>
      <c r="C1737" s="48" t="str">
        <f t="shared" si="68"/>
        <v>P.L. 117-58</v>
      </c>
      <c r="D1737" s="3" t="s">
        <v>3005</v>
      </c>
      <c r="E1737" s="3" t="s">
        <v>3200</v>
      </c>
      <c r="F1737" s="3" t="s">
        <v>3201</v>
      </c>
      <c r="G1737" s="48" t="str">
        <f>HYPERLINK("https://uscode.house.gov/view.xhtml?req=granuleid:USC-prelim-title30-section1606&amp;num=0&amp;edition=prelim", "30 U.S.C. 1606(g)(10)")</f>
        <v>30 U.S.C. 1606(g)(10)</v>
      </c>
      <c r="H1737" s="46">
        <v>45930</v>
      </c>
      <c r="I1737" s="13">
        <v>2025</v>
      </c>
      <c r="J1737" s="47">
        <v>135000000</v>
      </c>
      <c r="K1737" s="16" t="s">
        <v>62</v>
      </c>
      <c r="L1737" s="3" t="s">
        <v>60</v>
      </c>
      <c r="M1737" s="3" t="s">
        <v>48</v>
      </c>
      <c r="N1737" s="3" t="s">
        <v>58</v>
      </c>
    </row>
    <row r="1738" spans="1:14" x14ac:dyDescent="0.3">
      <c r="A1738" s="36" t="s">
        <v>37</v>
      </c>
      <c r="B1738" s="13">
        <v>117</v>
      </c>
      <c r="C1738" s="48" t="str">
        <f t="shared" si="68"/>
        <v>P.L. 117-58</v>
      </c>
      <c r="D1738" s="3" t="s">
        <v>3005</v>
      </c>
      <c r="E1738" s="3" t="s">
        <v>3202</v>
      </c>
      <c r="F1738" s="3" t="s">
        <v>3203</v>
      </c>
      <c r="G1738" s="48" t="str">
        <f>HYPERLINK("https://uscode.house.gov/view.xhtml?req=granuleid:USC-prelim-title42-section16292&amp;num=0&amp;edition=prelim", "42 U.S.C. 16292")</f>
        <v>42 U.S.C. 16292</v>
      </c>
      <c r="H1738" s="46">
        <v>45930</v>
      </c>
      <c r="I1738" s="13">
        <v>2025</v>
      </c>
      <c r="J1738" s="47">
        <v>150000000</v>
      </c>
      <c r="K1738" s="16" t="s">
        <v>62</v>
      </c>
      <c r="L1738" s="3" t="s">
        <v>60</v>
      </c>
      <c r="M1738" s="3" t="s">
        <v>48</v>
      </c>
      <c r="N1738" s="3" t="s">
        <v>58</v>
      </c>
    </row>
    <row r="1739" spans="1:14" x14ac:dyDescent="0.3">
      <c r="A1739" s="36" t="s">
        <v>37</v>
      </c>
      <c r="B1739" s="13">
        <v>117</v>
      </c>
      <c r="C1739" s="48" t="str">
        <f t="shared" si="68"/>
        <v>P.L. 117-58</v>
      </c>
      <c r="D1739" s="3" t="s">
        <v>3005</v>
      </c>
      <c r="E1739" s="3" t="s">
        <v>3204</v>
      </c>
      <c r="F1739" s="3" t="s">
        <v>3205</v>
      </c>
      <c r="G1739" s="48" t="str">
        <f>HYPERLINK("https://uscode.house.gov/view.xhtml?req=granuleid:USC-prelim-title42-section16292&amp;num=0&amp;edition=prelim", "42 U.S.C. 16292")</f>
        <v>42 U.S.C. 16292</v>
      </c>
      <c r="H1739" s="46">
        <v>45930</v>
      </c>
      <c r="I1739" s="13">
        <v>2025</v>
      </c>
      <c r="J1739" s="47">
        <v>600000000</v>
      </c>
      <c r="K1739" s="16" t="s">
        <v>62</v>
      </c>
      <c r="L1739" s="3" t="s">
        <v>60</v>
      </c>
      <c r="M1739" s="3" t="s">
        <v>48</v>
      </c>
      <c r="N1739" s="3" t="s">
        <v>58</v>
      </c>
    </row>
    <row r="1740" spans="1:14" x14ac:dyDescent="0.3">
      <c r="A1740" s="36" t="s">
        <v>37</v>
      </c>
      <c r="B1740" s="13">
        <v>117</v>
      </c>
      <c r="C1740" s="48" t="str">
        <f t="shared" si="68"/>
        <v>P.L. 117-58</v>
      </c>
      <c r="D1740" s="3" t="s">
        <v>3005</v>
      </c>
      <c r="E1740" s="3" t="s">
        <v>3206</v>
      </c>
      <c r="F1740" s="3" t="s">
        <v>3207</v>
      </c>
      <c r="G1740" s="48" t="str">
        <f>HYPERLINK("https://uscode.house.gov/view.xhtml?req=granuleid:USC-prelim-title42-section16298&amp;num=0&amp;edition=prelim", "42 U.S.C. 16298(d)")</f>
        <v>42 U.S.C. 16298(d)</v>
      </c>
      <c r="H1740" s="46">
        <v>44834</v>
      </c>
      <c r="I1740" s="13">
        <v>2022</v>
      </c>
      <c r="J1740" s="47">
        <v>15000000</v>
      </c>
      <c r="K1740" s="16" t="s">
        <v>62</v>
      </c>
      <c r="L1740" s="3" t="s">
        <v>60</v>
      </c>
      <c r="M1740" s="3" t="s">
        <v>48</v>
      </c>
      <c r="N1740" s="3" t="s">
        <v>58</v>
      </c>
    </row>
    <row r="1741" spans="1:14" x14ac:dyDescent="0.3">
      <c r="A1741" s="36" t="s">
        <v>37</v>
      </c>
      <c r="B1741" s="13">
        <v>117</v>
      </c>
      <c r="C1741" s="48" t="str">
        <f t="shared" si="68"/>
        <v>P.L. 117-58</v>
      </c>
      <c r="D1741" s="3" t="s">
        <v>3005</v>
      </c>
      <c r="E1741" s="3" t="s">
        <v>3208</v>
      </c>
      <c r="F1741" s="3" t="s">
        <v>3209</v>
      </c>
      <c r="G1741" s="48" t="str">
        <f>HYPERLINK("https://uscode.house.gov/view.xhtml?req=granuleid:USC-prelim-title42-section16298&amp;num=0&amp;edition=prelim", "42 U.S.C. 16298(d)")</f>
        <v>42 U.S.C. 16298(d)</v>
      </c>
      <c r="H1741" s="46">
        <v>44834</v>
      </c>
      <c r="I1741" s="13">
        <v>2022</v>
      </c>
      <c r="J1741" s="47">
        <v>100000000</v>
      </c>
      <c r="K1741" s="16" t="s">
        <v>62</v>
      </c>
      <c r="L1741" s="3" t="s">
        <v>60</v>
      </c>
      <c r="M1741" s="3" t="s">
        <v>48</v>
      </c>
      <c r="N1741" s="3" t="s">
        <v>58</v>
      </c>
    </row>
    <row r="1742" spans="1:14" x14ac:dyDescent="0.3">
      <c r="A1742" s="36" t="s">
        <v>37</v>
      </c>
      <c r="B1742" s="13">
        <v>117</v>
      </c>
      <c r="C1742" s="48" t="str">
        <f t="shared" si="68"/>
        <v>P.L. 117-58</v>
      </c>
      <c r="D1742" s="3" t="s">
        <v>3005</v>
      </c>
      <c r="E1742" s="3" t="s">
        <v>3210</v>
      </c>
      <c r="F1742" s="3" t="s">
        <v>3211</v>
      </c>
      <c r="G1742" s="48" t="str">
        <f>HYPERLINK("https://uscode.house.gov/view.xhtml?req=granuleid:USC-prelim-title42-section17213&amp;num=0&amp;edition=prelim", "42 U.S.C. 17213")</f>
        <v>42 U.S.C. 17213</v>
      </c>
      <c r="H1742" s="46">
        <v>45930</v>
      </c>
      <c r="I1742" s="13">
        <v>2025</v>
      </c>
      <c r="J1742" s="47">
        <v>36000000</v>
      </c>
      <c r="K1742" s="16" t="s">
        <v>62</v>
      </c>
      <c r="L1742" s="3" t="s">
        <v>47</v>
      </c>
      <c r="M1742" s="3" t="s">
        <v>48</v>
      </c>
      <c r="N1742" s="3" t="s">
        <v>58</v>
      </c>
    </row>
    <row r="1743" spans="1:14" x14ac:dyDescent="0.3">
      <c r="A1743" s="36" t="s">
        <v>37</v>
      </c>
      <c r="B1743" s="13">
        <v>117</v>
      </c>
      <c r="C1743" s="48" t="str">
        <f t="shared" si="68"/>
        <v>P.L. 117-58</v>
      </c>
      <c r="D1743" s="3" t="s">
        <v>3005</v>
      </c>
      <c r="E1743" s="3" t="s">
        <v>3212</v>
      </c>
      <c r="F1743" s="3" t="s">
        <v>3213</v>
      </c>
      <c r="G1743" s="48" t="str">
        <f>HYPERLINK("https://uscode.house.gov/view.xhtml?req=granuleid:USC-prelim-title42-section17213&amp;num=0&amp;edition=prelim", "42 U.S.C. 17213")</f>
        <v>42 U.S.C. 17213</v>
      </c>
      <c r="H1743" s="46">
        <v>45930</v>
      </c>
      <c r="I1743" s="13">
        <v>2025</v>
      </c>
      <c r="J1743" s="47">
        <v>70400000</v>
      </c>
      <c r="K1743" s="16" t="s">
        <v>62</v>
      </c>
      <c r="L1743" s="3" t="s">
        <v>47</v>
      </c>
      <c r="M1743" s="3" t="s">
        <v>48</v>
      </c>
      <c r="N1743" s="3" t="s">
        <v>58</v>
      </c>
    </row>
    <row r="1744" spans="1:14" x14ac:dyDescent="0.3">
      <c r="A1744" s="36" t="s">
        <v>37</v>
      </c>
      <c r="B1744" s="13">
        <v>117</v>
      </c>
      <c r="C1744" s="48" t="str">
        <f t="shared" si="68"/>
        <v>P.L. 117-58</v>
      </c>
      <c r="D1744" s="3" t="s">
        <v>3005</v>
      </c>
      <c r="E1744" s="3" t="s">
        <v>3214</v>
      </c>
      <c r="F1744" s="3" t="s">
        <v>3215</v>
      </c>
      <c r="G1744" s="48" t="str">
        <f>HYPERLINK("https://uscode.house.gov/view.xhtml?req=granuleid:USC-prelim-title42-section17215&amp;num=0&amp;edition=prelim", "42 U.S.C. 17215")</f>
        <v>42 U.S.C. 17215</v>
      </c>
      <c r="H1744" s="46">
        <v>45930</v>
      </c>
      <c r="I1744" s="13">
        <v>2025</v>
      </c>
      <c r="J1744" s="47">
        <v>40000000</v>
      </c>
      <c r="K1744" s="16" t="s">
        <v>62</v>
      </c>
      <c r="L1744" s="3" t="s">
        <v>47</v>
      </c>
      <c r="M1744" s="3" t="s">
        <v>48</v>
      </c>
      <c r="N1744" s="3" t="s">
        <v>58</v>
      </c>
    </row>
    <row r="1745" spans="1:14" x14ac:dyDescent="0.3">
      <c r="A1745" s="36" t="s">
        <v>37</v>
      </c>
      <c r="B1745" s="13">
        <v>117</v>
      </c>
      <c r="C1745" s="48" t="str">
        <f t="shared" si="68"/>
        <v>P.L. 117-58</v>
      </c>
      <c r="D1745" s="3" t="s">
        <v>3005</v>
      </c>
      <c r="E1745" s="3" t="s">
        <v>3216</v>
      </c>
      <c r="F1745" s="3" t="s">
        <v>3217</v>
      </c>
      <c r="G1745" s="48" t="str">
        <f>HYPERLINK("https://uscode.house.gov/view.xhtml?req=granuleid:USC-prelim-title42-section17194&amp;num=0&amp;edition=prelim", "42 U.S.C. 17194")</f>
        <v>42 U.S.C. 17194</v>
      </c>
      <c r="H1745" s="46">
        <v>45930</v>
      </c>
      <c r="I1745" s="13">
        <v>2025</v>
      </c>
      <c r="J1745" s="47">
        <v>84000000</v>
      </c>
      <c r="K1745" s="16" t="s">
        <v>62</v>
      </c>
      <c r="L1745" s="3" t="s">
        <v>47</v>
      </c>
      <c r="M1745" s="3" t="s">
        <v>48</v>
      </c>
      <c r="N1745" s="3" t="s">
        <v>58</v>
      </c>
    </row>
    <row r="1746" spans="1:14" x14ac:dyDescent="0.3">
      <c r="A1746" s="36" t="s">
        <v>37</v>
      </c>
      <c r="B1746" s="13">
        <v>117</v>
      </c>
      <c r="C1746" s="48" t="str">
        <f t="shared" si="68"/>
        <v>P.L. 117-58</v>
      </c>
      <c r="D1746" s="3" t="s">
        <v>3005</v>
      </c>
      <c r="E1746" s="3" t="s">
        <v>3218</v>
      </c>
      <c r="F1746" s="3" t="s">
        <v>3219</v>
      </c>
      <c r="G1746" s="48" t="str">
        <f>HYPERLINK("https://uscode.house.gov/view.xhtml?req=granuleid:USC-prelim-title42-section16238&amp;num=0&amp;edition=prelim", "42 U.S.C. 16238")</f>
        <v>42 U.S.C. 16238</v>
      </c>
      <c r="H1746" s="46">
        <v>45930</v>
      </c>
      <c r="I1746" s="13">
        <v>2025</v>
      </c>
      <c r="J1746" s="47">
        <v>40000000</v>
      </c>
      <c r="K1746" s="16" t="s">
        <v>62</v>
      </c>
      <c r="L1746" s="3" t="s">
        <v>47</v>
      </c>
      <c r="M1746" s="3" t="s">
        <v>48</v>
      </c>
      <c r="N1746" s="3" t="s">
        <v>58</v>
      </c>
    </row>
    <row r="1747" spans="1:14" x14ac:dyDescent="0.3">
      <c r="A1747" s="36" t="s">
        <v>37</v>
      </c>
      <c r="B1747" s="13">
        <v>117</v>
      </c>
      <c r="C1747" s="48" t="str">
        <f t="shared" si="68"/>
        <v>P.L. 117-58</v>
      </c>
      <c r="D1747" s="3" t="s">
        <v>3005</v>
      </c>
      <c r="E1747" s="3" t="s">
        <v>3220</v>
      </c>
      <c r="F1747" s="3" t="s">
        <v>3221</v>
      </c>
      <c r="G1747" s="48" t="str">
        <f>HYPERLINK("https://uscode.house.gov/view.xhtml?req=granuleid:USC-prelim-title42-section16238&amp;num=0&amp;edition=prelim", "42 U.S.C. 16238")</f>
        <v>42 U.S.C. 16238</v>
      </c>
      <c r="H1747" s="46">
        <v>45930</v>
      </c>
      <c r="I1747" s="13">
        <v>2025</v>
      </c>
      <c r="J1747" s="47">
        <v>20000000</v>
      </c>
      <c r="K1747" s="16" t="s">
        <v>62</v>
      </c>
      <c r="L1747" s="3" t="s">
        <v>47</v>
      </c>
      <c r="M1747" s="3" t="s">
        <v>48</v>
      </c>
      <c r="N1747" s="3" t="s">
        <v>58</v>
      </c>
    </row>
    <row r="1748" spans="1:14" x14ac:dyDescent="0.3">
      <c r="A1748" s="36" t="s">
        <v>37</v>
      </c>
      <c r="B1748" s="13">
        <v>117</v>
      </c>
      <c r="C1748" s="48" t="str">
        <f t="shared" si="68"/>
        <v>P.L. 117-58</v>
      </c>
      <c r="D1748" s="3" t="s">
        <v>3005</v>
      </c>
      <c r="E1748" s="3" t="s">
        <v>3222</v>
      </c>
      <c r="F1748" s="3" t="s">
        <v>3223</v>
      </c>
      <c r="G1748" s="48" t="str">
        <f>HYPERLINK("https://uscode.house.gov/view.xhtml?req=granuleid:USC-prelim-title42-section16238&amp;num=0&amp;edition=prelim", "42 U.S.C. 16238")</f>
        <v>42 U.S.C. 16238</v>
      </c>
      <c r="H1748" s="46">
        <v>45930</v>
      </c>
      <c r="I1748" s="13">
        <v>2025</v>
      </c>
      <c r="J1748" s="47">
        <v>20000000</v>
      </c>
      <c r="K1748" s="16" t="s">
        <v>62</v>
      </c>
      <c r="L1748" s="3" t="s">
        <v>47</v>
      </c>
      <c r="M1748" s="3" t="s">
        <v>48</v>
      </c>
      <c r="N1748" s="3" t="s">
        <v>58</v>
      </c>
    </row>
    <row r="1749" spans="1:14" x14ac:dyDescent="0.3">
      <c r="A1749" s="36" t="s">
        <v>37</v>
      </c>
      <c r="B1749" s="13">
        <v>117</v>
      </c>
      <c r="C1749" s="48" t="str">
        <f t="shared" si="68"/>
        <v>P.L. 117-58</v>
      </c>
      <c r="D1749" s="3" t="s">
        <v>3005</v>
      </c>
      <c r="E1749" s="3" t="s">
        <v>3224</v>
      </c>
      <c r="F1749" s="3" t="s">
        <v>3225</v>
      </c>
      <c r="G1749" s="48" t="str">
        <f>HYPERLINK("https://uscode.house.gov/view.xhtml?req=granuleid:USC-prelim-title42-section17113&amp;num=0&amp;edition=prelim", "42 U.S.C. 17113")</f>
        <v>42 U.S.C. 17113</v>
      </c>
      <c r="H1749" s="46">
        <v>45930</v>
      </c>
      <c r="I1749" s="13">
        <v>2025</v>
      </c>
      <c r="J1749" s="47">
        <v>150000000</v>
      </c>
      <c r="K1749" s="16" t="s">
        <v>62</v>
      </c>
      <c r="L1749" s="3" t="s">
        <v>60</v>
      </c>
      <c r="M1749" s="3" t="s">
        <v>48</v>
      </c>
      <c r="N1749" s="3" t="s">
        <v>58</v>
      </c>
    </row>
    <row r="1750" spans="1:14" x14ac:dyDescent="0.3">
      <c r="A1750" s="36" t="s">
        <v>37</v>
      </c>
      <c r="B1750" s="13">
        <v>117</v>
      </c>
      <c r="C1750" s="48" t="str">
        <f t="shared" si="68"/>
        <v>P.L. 117-58</v>
      </c>
      <c r="D1750" s="3" t="s">
        <v>3005</v>
      </c>
      <c r="E1750" s="3" t="s">
        <v>3226</v>
      </c>
      <c r="F1750" s="3" t="s">
        <v>3227</v>
      </c>
      <c r="G1750" s="48" t="str">
        <f>HYPERLINK("https://uscode.house.gov/view.xhtml?req=granuleid:USC-prelim-title42-section15907&amp;num=0&amp;edition=prelim", "42 U.S.C. 15907")</f>
        <v>42 U.S.C. 15907</v>
      </c>
      <c r="H1750" s="46">
        <v>44834</v>
      </c>
      <c r="I1750" s="13">
        <v>2022</v>
      </c>
      <c r="J1750" s="47">
        <v>30000000</v>
      </c>
      <c r="K1750" s="16" t="s">
        <v>62</v>
      </c>
      <c r="L1750" s="3" t="s">
        <v>47</v>
      </c>
      <c r="M1750" s="3" t="s">
        <v>48</v>
      </c>
      <c r="N1750" s="3" t="s">
        <v>49</v>
      </c>
    </row>
    <row r="1751" spans="1:14" x14ac:dyDescent="0.3">
      <c r="A1751" s="36" t="s">
        <v>37</v>
      </c>
      <c r="B1751" s="13">
        <v>117</v>
      </c>
      <c r="C1751" s="48" t="str">
        <f t="shared" si="68"/>
        <v>P.L. 117-58</v>
      </c>
      <c r="D1751" s="3" t="s">
        <v>3005</v>
      </c>
      <c r="E1751" s="3" t="s">
        <v>3226</v>
      </c>
      <c r="F1751" s="3" t="s">
        <v>3228</v>
      </c>
      <c r="G1751" s="48" t="str">
        <f>HYPERLINK("https://uscode.house.gov/view.xhtml?req=granuleid:USC-prelim-title42-section15907&amp;num=0&amp;edition=prelim", "42 U.S.C. 15907")</f>
        <v>42 U.S.C. 15907</v>
      </c>
      <c r="H1751" s="46">
        <v>44834</v>
      </c>
      <c r="I1751" s="13">
        <v>2022</v>
      </c>
      <c r="J1751" s="47">
        <v>250000000</v>
      </c>
      <c r="K1751" s="16" t="s">
        <v>62</v>
      </c>
      <c r="L1751" s="3" t="s">
        <v>47</v>
      </c>
      <c r="M1751" s="3" t="s">
        <v>48</v>
      </c>
      <c r="N1751" s="3" t="s">
        <v>49</v>
      </c>
    </row>
    <row r="1752" spans="1:14" x14ac:dyDescent="0.3">
      <c r="A1752" s="36" t="s">
        <v>37</v>
      </c>
      <c r="B1752" s="13">
        <v>117</v>
      </c>
      <c r="C1752" s="48" t="str">
        <f t="shared" si="68"/>
        <v>P.L. 117-58</v>
      </c>
      <c r="D1752" s="3" t="s">
        <v>3005</v>
      </c>
      <c r="E1752" s="3" t="s">
        <v>3226</v>
      </c>
      <c r="F1752" s="3" t="s">
        <v>3229</v>
      </c>
      <c r="G1752" s="48" t="str">
        <f>HYPERLINK("https://uscode.house.gov/view.xhtml?req=granuleid:USC-prelim-title42-section15907&amp;num=0&amp;edition=prelim", "42 U.S.C. 15907")</f>
        <v>42 U.S.C. 15907</v>
      </c>
      <c r="H1752" s="46">
        <v>44834</v>
      </c>
      <c r="I1752" s="13">
        <v>2022</v>
      </c>
      <c r="J1752" s="47">
        <v>775000000</v>
      </c>
      <c r="K1752" s="16" t="s">
        <v>62</v>
      </c>
      <c r="L1752" s="3" t="s">
        <v>47</v>
      </c>
      <c r="M1752" s="3" t="s">
        <v>48</v>
      </c>
      <c r="N1752" s="3" t="s">
        <v>49</v>
      </c>
    </row>
    <row r="1753" spans="1:14" x14ac:dyDescent="0.3">
      <c r="A1753" s="36" t="s">
        <v>37</v>
      </c>
      <c r="B1753" s="13">
        <v>117</v>
      </c>
      <c r="C1753" s="48" t="str">
        <f t="shared" si="68"/>
        <v>P.L. 117-58</v>
      </c>
      <c r="D1753" s="3" t="s">
        <v>3005</v>
      </c>
      <c r="E1753" s="3" t="s">
        <v>3226</v>
      </c>
      <c r="F1753" s="3" t="s">
        <v>3230</v>
      </c>
      <c r="G1753" s="48" t="str">
        <f>HYPERLINK("https://uscode.house.gov/view.xhtml?req=granuleid:USC-prelim-title42-section15607&amp;num=0&amp;edition=prelim", "42 U.S.C. 15607")</f>
        <v>42 U.S.C. 15607</v>
      </c>
      <c r="H1753" s="46">
        <v>44834</v>
      </c>
      <c r="I1753" s="13">
        <v>2022</v>
      </c>
      <c r="J1753" s="47">
        <v>2000000000</v>
      </c>
      <c r="K1753" s="16" t="s">
        <v>62</v>
      </c>
      <c r="L1753" s="3" t="s">
        <v>47</v>
      </c>
      <c r="M1753" s="3" t="s">
        <v>48</v>
      </c>
      <c r="N1753" s="3" t="s">
        <v>49</v>
      </c>
    </row>
    <row r="1754" spans="1:14" x14ac:dyDescent="0.3">
      <c r="A1754" s="36" t="s">
        <v>37</v>
      </c>
      <c r="B1754" s="13">
        <v>117</v>
      </c>
      <c r="C1754" s="48" t="str">
        <f t="shared" si="68"/>
        <v>P.L. 117-58</v>
      </c>
      <c r="D1754" s="3" t="s">
        <v>3005</v>
      </c>
      <c r="E1754" s="3" t="s">
        <v>3226</v>
      </c>
      <c r="F1754" s="3" t="s">
        <v>3231</v>
      </c>
      <c r="G1754" s="48" t="str">
        <f>HYPERLINK("https://uscode.house.gov/view.xhtml?req=granuleid:USC-prelim-title42-section15907&amp;num=0&amp;edition=prelim", "42 U.S.C. 15907")</f>
        <v>42 U.S.C. 15907</v>
      </c>
      <c r="H1754" s="46">
        <v>44834</v>
      </c>
      <c r="I1754" s="13">
        <v>2022</v>
      </c>
      <c r="J1754" s="47">
        <v>1500000000</v>
      </c>
      <c r="K1754" s="16" t="s">
        <v>62</v>
      </c>
      <c r="L1754" s="3" t="s">
        <v>47</v>
      </c>
      <c r="M1754" s="3" t="s">
        <v>48</v>
      </c>
      <c r="N1754" s="3" t="s">
        <v>49</v>
      </c>
    </row>
    <row r="1755" spans="1:14" x14ac:dyDescent="0.3">
      <c r="A1755" s="36" t="s">
        <v>37</v>
      </c>
      <c r="B1755" s="13">
        <v>117</v>
      </c>
      <c r="C1755" s="48" t="str">
        <f t="shared" si="68"/>
        <v>P.L. 117-58</v>
      </c>
      <c r="D1755" s="3" t="s">
        <v>3005</v>
      </c>
      <c r="E1755" s="3" t="s">
        <v>3226</v>
      </c>
      <c r="F1755" s="3" t="s">
        <v>3232</v>
      </c>
      <c r="G1755" s="48" t="str">
        <f>HYPERLINK("https://uscode.house.gov/view.xhtml?req=granuleid:USC-prelim-title42-section15907&amp;num=0&amp;edition=prelim", "42 U.S.C. 15907")</f>
        <v>42 U.S.C. 15907</v>
      </c>
      <c r="H1755" s="46">
        <v>44834</v>
      </c>
      <c r="I1755" s="13">
        <v>2022</v>
      </c>
      <c r="J1755" s="47">
        <v>150000000</v>
      </c>
      <c r="K1755" s="16" t="s">
        <v>62</v>
      </c>
      <c r="L1755" s="3" t="s">
        <v>47</v>
      </c>
      <c r="M1755" s="3" t="s">
        <v>48</v>
      </c>
      <c r="N1755" s="3" t="s">
        <v>49</v>
      </c>
    </row>
    <row r="1756" spans="1:14" x14ac:dyDescent="0.3">
      <c r="A1756" s="36" t="s">
        <v>37</v>
      </c>
      <c r="B1756" s="13">
        <v>117</v>
      </c>
      <c r="C1756" s="48" t="str">
        <f t="shared" si="68"/>
        <v>P.L. 117-58</v>
      </c>
      <c r="D1756" s="3" t="s">
        <v>3005</v>
      </c>
      <c r="E1756" s="3" t="s">
        <v>3233</v>
      </c>
      <c r="F1756" s="3" t="s">
        <v>3234</v>
      </c>
      <c r="G1756" s="48" t="str">
        <f>HYPERLINK("https://uscode.house.gov/view.xhtml?req=granuleid:USC-prelim-title43-section31&amp;num=0&amp;edition=prelim", "43 U.S.C. 31(h)(a)")</f>
        <v>43 U.S.C. 31(h)(a)</v>
      </c>
      <c r="H1756" s="46">
        <v>48121</v>
      </c>
      <c r="I1756" s="13">
        <v>2031</v>
      </c>
      <c r="J1756" s="47">
        <v>64000000</v>
      </c>
      <c r="K1756" s="16" t="s">
        <v>62</v>
      </c>
      <c r="L1756" s="3" t="s">
        <v>47</v>
      </c>
      <c r="M1756" s="3" t="s">
        <v>48</v>
      </c>
      <c r="N1756" s="3" t="s">
        <v>49</v>
      </c>
    </row>
    <row r="1757" spans="1:14" x14ac:dyDescent="0.3">
      <c r="A1757" s="36" t="s">
        <v>37</v>
      </c>
      <c r="B1757" s="13">
        <v>117</v>
      </c>
      <c r="C1757" s="48" t="str">
        <f t="shared" ref="C1757:C1779" si="69">HYPERLINK("https://uscode.house.gov/statutes/pl/117/58.pdf", "P.L. 117-58")</f>
        <v>P.L. 117-58</v>
      </c>
      <c r="D1757" s="3" t="s">
        <v>3005</v>
      </c>
      <c r="E1757" s="3" t="s">
        <v>3235</v>
      </c>
      <c r="F1757" s="3" t="s">
        <v>3236</v>
      </c>
      <c r="G1757" s="48" t="str">
        <f>HYPERLINK("https://uscode.house.gov/view.xhtml?req=granuleid:USC-prelim-title42-section3121&amp;num=0&amp;edition=prelim", "42 U.S.C. 3121")</f>
        <v>42 U.S.C. 3121</v>
      </c>
      <c r="H1757" s="46">
        <v>46295</v>
      </c>
      <c r="I1757" s="13">
        <v>2026</v>
      </c>
      <c r="J1757" s="47">
        <v>20000000</v>
      </c>
      <c r="K1757" s="16" t="s">
        <v>62</v>
      </c>
      <c r="L1757" s="3" t="s">
        <v>109</v>
      </c>
      <c r="M1757" s="3" t="s">
        <v>67</v>
      </c>
      <c r="N1757" s="3" t="s">
        <v>58</v>
      </c>
    </row>
    <row r="1758" spans="1:14" x14ac:dyDescent="0.3">
      <c r="A1758" s="36" t="s">
        <v>37</v>
      </c>
      <c r="B1758" s="13">
        <v>117</v>
      </c>
      <c r="C1758" s="48" t="str">
        <f t="shared" si="69"/>
        <v>P.L. 117-58</v>
      </c>
      <c r="D1758" s="3" t="s">
        <v>3005</v>
      </c>
      <c r="E1758" s="3" t="s">
        <v>3237</v>
      </c>
      <c r="F1758" s="3" t="s">
        <v>3238</v>
      </c>
      <c r="G1758" s="48" t="str">
        <f>HYPERLINK("https://uscode.house.gov/view.xhtml?req=granuleid:USC-prelim-title40-section14703&amp;num=0&amp;edition=prelim", "40 U.S.C. 14703(a)")</f>
        <v>40 U.S.C. 14703(a)</v>
      </c>
      <c r="H1758" s="46">
        <v>46295</v>
      </c>
      <c r="I1758" s="13">
        <v>2026</v>
      </c>
      <c r="J1758" s="47">
        <v>200000000</v>
      </c>
      <c r="K1758" s="16" t="s">
        <v>62</v>
      </c>
      <c r="L1758" s="3" t="s">
        <v>109</v>
      </c>
      <c r="M1758" s="3" t="s">
        <v>148</v>
      </c>
      <c r="N1758" s="3" t="s">
        <v>58</v>
      </c>
    </row>
    <row r="1759" spans="1:14" x14ac:dyDescent="0.3">
      <c r="A1759" s="36" t="s">
        <v>37</v>
      </c>
      <c r="B1759" s="13">
        <v>117</v>
      </c>
      <c r="C1759" s="48" t="str">
        <f t="shared" si="69"/>
        <v>P.L. 117-58</v>
      </c>
      <c r="D1759" s="3" t="s">
        <v>3005</v>
      </c>
      <c r="E1759" s="3" t="s">
        <v>3239</v>
      </c>
      <c r="F1759" s="3" t="s">
        <v>3240</v>
      </c>
      <c r="G1759" s="48" t="str">
        <f>HYPERLINK("https://uscode.house.gov/view.xhtml?req=granuleid:USC-prelim-title23-section101&amp;num=0&amp;edition=prelim", "23 U.S.C. 101(Note)")</f>
        <v>23 U.S.C. 101(Note)</v>
      </c>
      <c r="H1759" s="46">
        <v>46295</v>
      </c>
      <c r="I1759" s="13">
        <v>2026</v>
      </c>
      <c r="J1759" s="47">
        <v>64861606000</v>
      </c>
      <c r="K1759" s="16" t="s">
        <v>62</v>
      </c>
      <c r="L1759" s="3" t="s">
        <v>109</v>
      </c>
      <c r="M1759" s="3" t="s">
        <v>148</v>
      </c>
      <c r="N1759" s="3" t="s">
        <v>158</v>
      </c>
    </row>
    <row r="1760" spans="1:14" x14ac:dyDescent="0.3">
      <c r="A1760" s="36" t="s">
        <v>37</v>
      </c>
      <c r="B1760" s="13">
        <v>117</v>
      </c>
      <c r="C1760" s="48" t="str">
        <f t="shared" si="69"/>
        <v>P.L. 117-58</v>
      </c>
      <c r="D1760" s="3" t="s">
        <v>3005</v>
      </c>
      <c r="E1760" s="3" t="s">
        <v>3241</v>
      </c>
      <c r="F1760" s="3" t="s">
        <v>3242</v>
      </c>
      <c r="G1760" s="48" t="str">
        <f>HYPERLINK("https://uscode.house.gov/view.xhtml?req=granuleid:USC-prelim-title23-section101&amp;num=0&amp;edition=prelim", "23 U.S.C. 101(Note)")</f>
        <v>23 U.S.C. 101(Note)</v>
      </c>
      <c r="H1760" s="46">
        <v>46295</v>
      </c>
      <c r="I1760" s="13">
        <v>2026</v>
      </c>
      <c r="J1760" s="47">
        <v>85650000000</v>
      </c>
      <c r="K1760" s="16" t="s">
        <v>62</v>
      </c>
      <c r="L1760" s="3" t="s">
        <v>109</v>
      </c>
      <c r="M1760" s="3" t="s">
        <v>148</v>
      </c>
      <c r="N1760" s="3" t="s">
        <v>158</v>
      </c>
    </row>
    <row r="1761" spans="1:14" x14ac:dyDescent="0.3">
      <c r="A1761" s="36" t="s">
        <v>37</v>
      </c>
      <c r="B1761" s="13">
        <v>117</v>
      </c>
      <c r="C1761" s="48" t="str">
        <f t="shared" si="69"/>
        <v>P.L. 117-58</v>
      </c>
      <c r="D1761" s="3" t="s">
        <v>3005</v>
      </c>
      <c r="E1761" s="3" t="s">
        <v>3243</v>
      </c>
      <c r="F1761" s="3" t="s">
        <v>3244</v>
      </c>
      <c r="G1761" s="49"/>
      <c r="H1761" s="46">
        <v>46295</v>
      </c>
      <c r="I1761" s="13">
        <v>2026</v>
      </c>
      <c r="J1761" s="47">
        <v>1400000000</v>
      </c>
      <c r="K1761" s="16" t="s">
        <v>62</v>
      </c>
      <c r="L1761" s="3" t="s">
        <v>109</v>
      </c>
      <c r="M1761" s="3" t="s">
        <v>148</v>
      </c>
      <c r="N1761" s="3" t="s">
        <v>158</v>
      </c>
    </row>
    <row r="1762" spans="1:14" x14ac:dyDescent="0.3">
      <c r="A1762" s="36" t="s">
        <v>37</v>
      </c>
      <c r="B1762" s="13">
        <v>117</v>
      </c>
      <c r="C1762" s="48" t="str">
        <f t="shared" si="69"/>
        <v>P.L. 117-58</v>
      </c>
      <c r="D1762" s="3" t="s">
        <v>3005</v>
      </c>
      <c r="E1762" s="3" t="s">
        <v>3245</v>
      </c>
      <c r="F1762" s="3" t="s">
        <v>3246</v>
      </c>
      <c r="G1762" s="49"/>
      <c r="H1762" s="46">
        <v>46295</v>
      </c>
      <c r="I1762" s="13">
        <v>2026</v>
      </c>
      <c r="J1762" s="47">
        <v>3000000000</v>
      </c>
      <c r="K1762" s="16" t="s">
        <v>62</v>
      </c>
      <c r="L1762" s="3" t="s">
        <v>109</v>
      </c>
      <c r="M1762" s="3" t="s">
        <v>148</v>
      </c>
      <c r="N1762" s="3" t="s">
        <v>158</v>
      </c>
    </row>
    <row r="1763" spans="1:14" x14ac:dyDescent="0.3">
      <c r="A1763" s="36" t="s">
        <v>37</v>
      </c>
      <c r="B1763" s="13">
        <v>117</v>
      </c>
      <c r="C1763" s="48" t="str">
        <f t="shared" si="69"/>
        <v>P.L. 117-58</v>
      </c>
      <c r="D1763" s="3" t="s">
        <v>3005</v>
      </c>
      <c r="E1763" s="3" t="s">
        <v>3247</v>
      </c>
      <c r="F1763" s="3" t="s">
        <v>3248</v>
      </c>
      <c r="G1763" s="49"/>
      <c r="H1763" s="46">
        <v>46295</v>
      </c>
      <c r="I1763" s="13">
        <v>2026</v>
      </c>
      <c r="J1763" s="47">
        <v>279000000</v>
      </c>
      <c r="K1763" s="16" t="s">
        <v>62</v>
      </c>
      <c r="L1763" s="3" t="s">
        <v>109</v>
      </c>
      <c r="M1763" s="3" t="s">
        <v>148</v>
      </c>
      <c r="N1763" s="3" t="s">
        <v>158</v>
      </c>
    </row>
    <row r="1764" spans="1:14" x14ac:dyDescent="0.3">
      <c r="A1764" s="36" t="s">
        <v>37</v>
      </c>
      <c r="B1764" s="13">
        <v>117</v>
      </c>
      <c r="C1764" s="48" t="str">
        <f t="shared" si="69"/>
        <v>P.L. 117-58</v>
      </c>
      <c r="D1764" s="3" t="s">
        <v>3005</v>
      </c>
      <c r="E1764" s="3" t="s">
        <v>3249</v>
      </c>
      <c r="F1764" s="3" t="s">
        <v>3250</v>
      </c>
      <c r="G1764" s="49"/>
      <c r="H1764" s="46">
        <v>46295</v>
      </c>
      <c r="I1764" s="13">
        <v>2026</v>
      </c>
      <c r="J1764" s="47">
        <v>47000000</v>
      </c>
      <c r="K1764" s="16" t="s">
        <v>62</v>
      </c>
      <c r="L1764" s="3" t="s">
        <v>109</v>
      </c>
      <c r="M1764" s="3" t="s">
        <v>148</v>
      </c>
      <c r="N1764" s="3" t="s">
        <v>158</v>
      </c>
    </row>
    <row r="1765" spans="1:14" x14ac:dyDescent="0.3">
      <c r="A1765" s="36" t="s">
        <v>37</v>
      </c>
      <c r="B1765" s="13">
        <v>117</v>
      </c>
      <c r="C1765" s="48" t="str">
        <f t="shared" si="69"/>
        <v>P.L. 117-58</v>
      </c>
      <c r="D1765" s="3" t="s">
        <v>3005</v>
      </c>
      <c r="E1765" s="3" t="s">
        <v>3251</v>
      </c>
      <c r="F1765" s="3" t="s">
        <v>3252</v>
      </c>
      <c r="G1765" s="48" t="str">
        <f>HYPERLINK("https://uscode.house.gov/view.xhtml?req=granuleid:USC-prelim-title49-section22907&amp;num=0&amp;edition=prelim", "49 U.S.C. 22907")</f>
        <v>49 U.S.C. 22907</v>
      </c>
      <c r="H1765" s="46">
        <v>46295</v>
      </c>
      <c r="I1765" s="13">
        <v>2026</v>
      </c>
      <c r="J1765" s="47">
        <v>1000000000</v>
      </c>
      <c r="K1765" s="16" t="s">
        <v>62</v>
      </c>
      <c r="L1765" s="3" t="s">
        <v>109</v>
      </c>
      <c r="M1765" s="3" t="s">
        <v>148</v>
      </c>
      <c r="N1765" s="3" t="s">
        <v>158</v>
      </c>
    </row>
    <row r="1766" spans="1:14" x14ac:dyDescent="0.3">
      <c r="A1766" s="36" t="s">
        <v>37</v>
      </c>
      <c r="B1766" s="13">
        <v>117</v>
      </c>
      <c r="C1766" s="48" t="str">
        <f t="shared" si="69"/>
        <v>P.L. 117-58</v>
      </c>
      <c r="D1766" s="3" t="s">
        <v>3005</v>
      </c>
      <c r="E1766" s="3" t="s">
        <v>3253</v>
      </c>
      <c r="F1766" s="3" t="s">
        <v>3254</v>
      </c>
      <c r="G1766" s="48" t="str">
        <f>HYPERLINK("https://uscode.house.gov/view.xhtml?req=granuleid:USC-prelim-title49-section22909&amp;num=0&amp;edition=prelim", "49 U.S.C. 22909")</f>
        <v>49 U.S.C. 22909</v>
      </c>
      <c r="H1766" s="46">
        <v>46295</v>
      </c>
      <c r="I1766" s="13">
        <v>2026</v>
      </c>
      <c r="J1766" s="47">
        <v>500000000</v>
      </c>
      <c r="K1766" s="16" t="s">
        <v>62</v>
      </c>
      <c r="L1766" s="3" t="s">
        <v>109</v>
      </c>
      <c r="M1766" s="3" t="s">
        <v>148</v>
      </c>
      <c r="N1766" s="3" t="s">
        <v>158</v>
      </c>
    </row>
    <row r="1767" spans="1:14" x14ac:dyDescent="0.3">
      <c r="A1767" s="36" t="s">
        <v>37</v>
      </c>
      <c r="B1767" s="13">
        <v>117</v>
      </c>
      <c r="C1767" s="48" t="str">
        <f t="shared" si="69"/>
        <v>P.L. 117-58</v>
      </c>
      <c r="D1767" s="3" t="s">
        <v>3005</v>
      </c>
      <c r="E1767" s="3" t="s">
        <v>3255</v>
      </c>
      <c r="F1767" s="3" t="s">
        <v>3256</v>
      </c>
      <c r="G1767" s="48" t="str">
        <f>HYPERLINK("https://uscode.house.gov/view.xhtml?req=granuleid:USC-prelim-title49-section22908&amp;num=0&amp;edition=prelim", "49 U.S.C. 22908")</f>
        <v>49 U.S.C. 22908</v>
      </c>
      <c r="H1767" s="46">
        <v>46295</v>
      </c>
      <c r="I1767" s="13">
        <v>2026</v>
      </c>
      <c r="J1767" s="47">
        <v>50000000</v>
      </c>
      <c r="K1767" s="16" t="s">
        <v>62</v>
      </c>
      <c r="L1767" s="3" t="s">
        <v>109</v>
      </c>
      <c r="M1767" s="3" t="s">
        <v>148</v>
      </c>
      <c r="N1767" s="3" t="s">
        <v>158</v>
      </c>
    </row>
    <row r="1768" spans="1:14" x14ac:dyDescent="0.3">
      <c r="A1768" s="36" t="s">
        <v>37</v>
      </c>
      <c r="B1768" s="13">
        <v>117</v>
      </c>
      <c r="C1768" s="48" t="str">
        <f t="shared" si="69"/>
        <v>P.L. 117-58</v>
      </c>
      <c r="D1768" s="3" t="s">
        <v>3005</v>
      </c>
      <c r="E1768" s="3" t="s">
        <v>3257</v>
      </c>
      <c r="F1768" s="3" t="s">
        <v>3258</v>
      </c>
      <c r="G1768" s="48" t="str">
        <f>HYPERLINK("https://uscode.house.gov/view.xhtml?req=granuleid:USC-prelim-title49-section24911&amp;num=0&amp;edition=prelim", "49 U.S.C. 24911")</f>
        <v>49 U.S.C. 24911</v>
      </c>
      <c r="H1768" s="46">
        <v>46295</v>
      </c>
      <c r="I1768" s="13">
        <v>2026</v>
      </c>
      <c r="J1768" s="47">
        <v>1500000000</v>
      </c>
      <c r="K1768" s="16" t="s">
        <v>62</v>
      </c>
      <c r="L1768" s="3" t="s">
        <v>109</v>
      </c>
      <c r="M1768" s="3" t="s">
        <v>148</v>
      </c>
      <c r="N1768" s="3" t="s">
        <v>158</v>
      </c>
    </row>
    <row r="1769" spans="1:14" x14ac:dyDescent="0.3">
      <c r="A1769" s="36" t="s">
        <v>37</v>
      </c>
      <c r="B1769" s="13">
        <v>117</v>
      </c>
      <c r="C1769" s="48" t="str">
        <f t="shared" si="69"/>
        <v>P.L. 117-58</v>
      </c>
      <c r="D1769" s="3" t="s">
        <v>3005</v>
      </c>
      <c r="E1769" s="3" t="s">
        <v>3259</v>
      </c>
      <c r="F1769" s="3" t="s">
        <v>3260</v>
      </c>
      <c r="G1769" s="49"/>
      <c r="H1769" s="46">
        <v>46295</v>
      </c>
      <c r="I1769" s="13">
        <v>2026</v>
      </c>
      <c r="J1769" s="47">
        <v>28500000</v>
      </c>
      <c r="K1769" s="16" t="s">
        <v>62</v>
      </c>
      <c r="L1769" s="3" t="s">
        <v>109</v>
      </c>
      <c r="M1769" s="3" t="s">
        <v>148</v>
      </c>
      <c r="N1769" s="3" t="s">
        <v>158</v>
      </c>
    </row>
    <row r="1770" spans="1:14" x14ac:dyDescent="0.3">
      <c r="A1770" s="36" t="s">
        <v>37</v>
      </c>
      <c r="B1770" s="13">
        <v>117</v>
      </c>
      <c r="C1770" s="48" t="str">
        <f t="shared" si="69"/>
        <v>P.L. 117-58</v>
      </c>
      <c r="D1770" s="3" t="s">
        <v>3005</v>
      </c>
      <c r="E1770" s="3" t="s">
        <v>3261</v>
      </c>
      <c r="F1770" s="3" t="s">
        <v>3262</v>
      </c>
      <c r="G1770" s="49"/>
      <c r="H1770" s="46">
        <v>45199</v>
      </c>
      <c r="I1770" s="13">
        <v>2023</v>
      </c>
      <c r="J1770" s="47">
        <v>7500000</v>
      </c>
      <c r="K1770" s="16" t="s">
        <v>62</v>
      </c>
      <c r="L1770" s="3" t="s">
        <v>109</v>
      </c>
      <c r="M1770" s="3" t="s">
        <v>148</v>
      </c>
      <c r="N1770" s="3" t="s">
        <v>158</v>
      </c>
    </row>
    <row r="1771" spans="1:14" x14ac:dyDescent="0.3">
      <c r="A1771" s="36" t="s">
        <v>37</v>
      </c>
      <c r="B1771" s="13">
        <v>117</v>
      </c>
      <c r="C1771" s="48" t="str">
        <f t="shared" si="69"/>
        <v>P.L. 117-58</v>
      </c>
      <c r="D1771" s="3" t="s">
        <v>3005</v>
      </c>
      <c r="E1771" s="3" t="s">
        <v>3263</v>
      </c>
      <c r="F1771" s="3" t="s">
        <v>3264</v>
      </c>
      <c r="G1771" s="48" t="str">
        <f>HYPERLINK("https://uscode.house.gov/view.xhtml?req=granuleid:USC-prelim-title7-section7624&amp;num=0&amp;edition=prelim", "7 U.S.C. 7624")</f>
        <v>7 U.S.C. 7624</v>
      </c>
      <c r="H1771" s="46">
        <v>45199</v>
      </c>
      <c r="I1771" s="13">
        <v>2023</v>
      </c>
      <c r="J1771" s="47">
        <v>2000000</v>
      </c>
      <c r="K1771" s="16" t="s">
        <v>62</v>
      </c>
      <c r="L1771" s="3" t="s">
        <v>1105</v>
      </c>
      <c r="M1771" s="3" t="s">
        <v>586</v>
      </c>
      <c r="N1771" s="3" t="s">
        <v>406</v>
      </c>
    </row>
    <row r="1772" spans="1:14" x14ac:dyDescent="0.3">
      <c r="A1772" s="36" t="s">
        <v>37</v>
      </c>
      <c r="B1772" s="13">
        <v>117</v>
      </c>
      <c r="C1772" s="48" t="str">
        <f t="shared" si="69"/>
        <v>P.L. 117-58</v>
      </c>
      <c r="D1772" s="3" t="s">
        <v>3005</v>
      </c>
      <c r="E1772" s="3" t="s">
        <v>3265</v>
      </c>
      <c r="F1772" s="3" t="s">
        <v>3266</v>
      </c>
      <c r="G1772" s="48" t="str">
        <f>HYPERLINK("https://uscode.house.gov/view.xhtml?req=granuleid:USC-prelim-title6-section665g&amp;num=0&amp;edition=prelim", "6 U.S.C. 665g")</f>
        <v>6 U.S.C. 665g</v>
      </c>
      <c r="H1772" s="46">
        <v>45930</v>
      </c>
      <c r="I1772" s="13">
        <v>2025</v>
      </c>
      <c r="J1772" s="47">
        <v>100000000</v>
      </c>
      <c r="K1772" s="16" t="s">
        <v>62</v>
      </c>
      <c r="L1772" s="3" t="s">
        <v>642</v>
      </c>
      <c r="M1772" s="3" t="s">
        <v>230</v>
      </c>
      <c r="N1772" s="3" t="s">
        <v>122</v>
      </c>
    </row>
    <row r="1773" spans="1:14" x14ac:dyDescent="0.3">
      <c r="A1773" s="36" t="s">
        <v>37</v>
      </c>
      <c r="B1773" s="13">
        <v>117</v>
      </c>
      <c r="C1773" s="48" t="str">
        <f t="shared" si="69"/>
        <v>P.L. 117-58</v>
      </c>
      <c r="D1773" s="3" t="s">
        <v>3005</v>
      </c>
      <c r="E1773" s="3" t="s">
        <v>3267</v>
      </c>
      <c r="F1773" s="3" t="s">
        <v>3268</v>
      </c>
      <c r="G1773" s="48" t="str">
        <f>HYPERLINK("https://uscode.house.gov/view.xhtml?req=granuleid:USC-prelim-title42-section6966c&amp;num=0&amp;edition=prelim", "42 U.S.C. 6966c(b)(4)")</f>
        <v>42 U.S.C. 6966c(b)(4)</v>
      </c>
      <c r="H1773" s="46">
        <v>44834</v>
      </c>
      <c r="I1773" s="13">
        <v>2022</v>
      </c>
      <c r="J1773" s="47">
        <v>10000000</v>
      </c>
      <c r="K1773" s="16" t="s">
        <v>62</v>
      </c>
      <c r="L1773" s="3" t="s">
        <v>47</v>
      </c>
      <c r="M1773" s="3" t="s">
        <v>67</v>
      </c>
      <c r="N1773" s="3" t="s">
        <v>49</v>
      </c>
    </row>
    <row r="1774" spans="1:14" x14ac:dyDescent="0.3">
      <c r="A1774" s="36" t="s">
        <v>37</v>
      </c>
      <c r="B1774" s="13">
        <v>117</v>
      </c>
      <c r="C1774" s="48" t="str">
        <f t="shared" si="69"/>
        <v>P.L. 117-58</v>
      </c>
      <c r="D1774" s="3" t="s">
        <v>3005</v>
      </c>
      <c r="E1774" s="3" t="s">
        <v>3269</v>
      </c>
      <c r="F1774" s="3" t="s">
        <v>3270</v>
      </c>
      <c r="G1774" s="48" t="str">
        <f>HYPERLINK("https://uscode.house.gov/view.xhtml?req=granuleid:USC-prelim-title42-section6966c&amp;num=0&amp;edition=prelim", "42 U.S.C. 6966c(c)(4)")</f>
        <v>42 U.S.C. 6966c(c)(4)</v>
      </c>
      <c r="H1774" s="46">
        <v>44834</v>
      </c>
      <c r="I1774" s="13">
        <v>2022</v>
      </c>
      <c r="J1774" s="47">
        <v>15000000</v>
      </c>
      <c r="K1774" s="16" t="s">
        <v>62</v>
      </c>
      <c r="L1774" s="3" t="s">
        <v>47</v>
      </c>
      <c r="M1774" s="3" t="s">
        <v>67</v>
      </c>
      <c r="N1774" s="3" t="s">
        <v>49</v>
      </c>
    </row>
    <row r="1775" spans="1:14" x14ac:dyDescent="0.3">
      <c r="A1775" s="36" t="s">
        <v>37</v>
      </c>
      <c r="B1775" s="13">
        <v>117</v>
      </c>
      <c r="C1775" s="48" t="str">
        <f t="shared" si="69"/>
        <v>P.L. 117-58</v>
      </c>
      <c r="D1775" s="3" t="s">
        <v>3005</v>
      </c>
      <c r="E1775" s="3" t="s">
        <v>3271</v>
      </c>
      <c r="F1775" s="3" t="s">
        <v>3272</v>
      </c>
      <c r="G1775" s="48" t="str">
        <f>HYPERLINK("https://uscode.house.gov/view.xhtml?req=granuleid:USC-prelim-title42-section6966d&amp;num=0&amp;edition=prelim", "42 U.S.C. 6966d")</f>
        <v>42 U.S.C. 6966d</v>
      </c>
      <c r="H1775" s="46">
        <v>46295</v>
      </c>
      <c r="I1775" s="13">
        <v>2026</v>
      </c>
      <c r="J1775" s="47">
        <v>15000000</v>
      </c>
      <c r="K1775" s="16" t="s">
        <v>62</v>
      </c>
      <c r="L1775" s="3" t="s">
        <v>47</v>
      </c>
      <c r="M1775" s="3" t="s">
        <v>67</v>
      </c>
      <c r="N1775" s="3" t="s">
        <v>49</v>
      </c>
    </row>
    <row r="1776" spans="1:14" x14ac:dyDescent="0.3">
      <c r="A1776" s="36" t="s">
        <v>37</v>
      </c>
      <c r="B1776" s="13">
        <v>117</v>
      </c>
      <c r="C1776" s="48" t="str">
        <f t="shared" si="69"/>
        <v>P.L. 117-58</v>
      </c>
      <c r="D1776" s="3" t="s">
        <v>3005</v>
      </c>
      <c r="E1776" s="3" t="s">
        <v>3273</v>
      </c>
      <c r="F1776" s="3" t="s">
        <v>3274</v>
      </c>
      <c r="G1776" s="48" t="str">
        <f>HYPERLINK("https://uscode.house.gov/view.xhtml?req=granuleid:USC-prelim-title42-section16091&amp;num=0&amp;edition=prelim", "42 U.S.C. 16091(f)(1)")</f>
        <v>42 U.S.C. 16091(f)(1)</v>
      </c>
      <c r="H1776" s="46">
        <v>46295</v>
      </c>
      <c r="I1776" s="13">
        <v>2026</v>
      </c>
      <c r="J1776" s="47">
        <v>500000000</v>
      </c>
      <c r="K1776" s="16" t="s">
        <v>62</v>
      </c>
      <c r="L1776" s="3" t="s">
        <v>109</v>
      </c>
      <c r="M1776" s="3" t="s">
        <v>67</v>
      </c>
      <c r="N1776" s="3" t="s">
        <v>49</v>
      </c>
    </row>
    <row r="1777" spans="1:14" x14ac:dyDescent="0.3">
      <c r="A1777" s="36" t="s">
        <v>37</v>
      </c>
      <c r="B1777" s="13">
        <v>117</v>
      </c>
      <c r="C1777" s="48" t="str">
        <f t="shared" si="69"/>
        <v>P.L. 117-58</v>
      </c>
      <c r="D1777" s="3" t="s">
        <v>3005</v>
      </c>
      <c r="E1777" s="3" t="s">
        <v>3275</v>
      </c>
      <c r="F1777" s="3" t="s">
        <v>3276</v>
      </c>
      <c r="G1777" s="48" t="str">
        <f>HYPERLINK("https://uscode.house.gov/view.xhtml?req=granuleid:USC-prelim-title42-section16091&amp;num=0&amp;edition=prelim", "42 U.S.C. 16091(f)(2)")</f>
        <v>42 U.S.C. 16091(f)(2)</v>
      </c>
      <c r="H1777" s="46">
        <v>46295</v>
      </c>
      <c r="I1777" s="13">
        <v>2026</v>
      </c>
      <c r="J1777" s="47">
        <v>500000000</v>
      </c>
      <c r="K1777" s="16" t="s">
        <v>62</v>
      </c>
      <c r="L1777" s="3" t="s">
        <v>109</v>
      </c>
      <c r="M1777" s="3" t="s">
        <v>67</v>
      </c>
      <c r="N1777" s="3" t="s">
        <v>49</v>
      </c>
    </row>
    <row r="1778" spans="1:14" x14ac:dyDescent="0.3">
      <c r="A1778" s="36" t="s">
        <v>37</v>
      </c>
      <c r="B1778" s="13">
        <v>117</v>
      </c>
      <c r="C1778" s="48" t="str">
        <f t="shared" si="69"/>
        <v>P.L. 117-58</v>
      </c>
      <c r="D1778" s="3" t="s">
        <v>3005</v>
      </c>
      <c r="E1778" s="3" t="s">
        <v>3277</v>
      </c>
      <c r="F1778" s="3" t="s">
        <v>3278</v>
      </c>
      <c r="G1778" s="48" t="str">
        <f>HYPERLINK("https://uscode.house.gov/view.xhtml?req=granuleid:USC-prelim-title42-section16901&amp;num=0&amp;edition=prelim", "42 U.S.C. 16901")</f>
        <v>42 U.S.C. 16901</v>
      </c>
      <c r="H1778" s="46">
        <v>46295</v>
      </c>
      <c r="I1778" s="13">
        <v>2026</v>
      </c>
      <c r="J1778" s="47">
        <v>500000000</v>
      </c>
      <c r="K1778" s="16" t="s">
        <v>62</v>
      </c>
      <c r="L1778" s="3" t="s">
        <v>109</v>
      </c>
      <c r="M1778" s="3" t="s">
        <v>148</v>
      </c>
      <c r="N1778" s="3" t="s">
        <v>158</v>
      </c>
    </row>
    <row r="1779" spans="1:14" x14ac:dyDescent="0.3">
      <c r="A1779" s="36" t="s">
        <v>37</v>
      </c>
      <c r="B1779" s="13">
        <v>117</v>
      </c>
      <c r="C1779" s="48" t="str">
        <f t="shared" si="69"/>
        <v>P.L. 117-58</v>
      </c>
      <c r="D1779" s="3" t="s">
        <v>3005</v>
      </c>
      <c r="E1779" s="3" t="s">
        <v>3279</v>
      </c>
      <c r="F1779" s="3" t="s">
        <v>3280</v>
      </c>
      <c r="G1779" s="48" t="str">
        <f>HYPERLINK("https://uscode.house.gov/view.xhtml?req=granuleid:USC-prelim-title23-section147&amp;num=0&amp;edition=prelim", "23 U.S.C. 147(note)")</f>
        <v>23 U.S.C. 147(note)</v>
      </c>
      <c r="H1779" s="46">
        <v>46295</v>
      </c>
      <c r="I1779" s="13">
        <v>2026</v>
      </c>
      <c r="J1779" s="47">
        <v>200000000</v>
      </c>
      <c r="K1779" s="16" t="s">
        <v>62</v>
      </c>
      <c r="L1779" s="3" t="s">
        <v>109</v>
      </c>
      <c r="M1779" s="3" t="s">
        <v>148</v>
      </c>
      <c r="N1779" s="3" t="s">
        <v>158</v>
      </c>
    </row>
    <row r="1780" spans="1:14" x14ac:dyDescent="0.3">
      <c r="A1780" s="36" t="s">
        <v>37</v>
      </c>
      <c r="B1780" s="13">
        <v>117</v>
      </c>
      <c r="C1780" s="48" t="str">
        <f>HYPERLINK("https://uscode.house.gov/statutes/pl/117/69.pdf", "P.L. 117-69")</f>
        <v>P.L. 117-69</v>
      </c>
      <c r="D1780" s="3" t="s">
        <v>3281</v>
      </c>
      <c r="F1780" s="3" t="s">
        <v>3282</v>
      </c>
      <c r="G1780" s="48" t="str">
        <f>HYPERLINK("https://uscode.house.gov/view.xhtml?req=granuleid:USC-prelim-title38-section1703&amp;num=0&amp;edition=prelim", "38 U.S.C. 1703(note (b)(1))")</f>
        <v>38 U.S.C. 1703(note (b)(1))</v>
      </c>
      <c r="H1780" s="46">
        <v>44834</v>
      </c>
      <c r="I1780" s="13">
        <v>2022</v>
      </c>
      <c r="J1780" s="47">
        <v>15000000</v>
      </c>
      <c r="K1780" s="16" t="s">
        <v>62</v>
      </c>
      <c r="L1780" s="3" t="s">
        <v>265</v>
      </c>
      <c r="M1780" s="3" t="s">
        <v>266</v>
      </c>
      <c r="N1780" s="3" t="s">
        <v>267</v>
      </c>
    </row>
    <row r="1781" spans="1:14" x14ac:dyDescent="0.3">
      <c r="A1781" s="36" t="s">
        <v>37</v>
      </c>
      <c r="B1781" s="13">
        <v>117</v>
      </c>
      <c r="C1781" s="48" t="str">
        <f>HYPERLINK("https://uscode.house.gov/statutes/pl/117/79.pdf", "P.L. 117-79")</f>
        <v>P.L. 117-79</v>
      </c>
      <c r="D1781" s="3" t="s">
        <v>3283</v>
      </c>
      <c r="E1781" s="3" t="s">
        <v>593</v>
      </c>
      <c r="F1781" s="3" t="s">
        <v>3284</v>
      </c>
      <c r="G1781" s="49"/>
      <c r="H1781" s="46">
        <v>46295</v>
      </c>
      <c r="I1781" s="13">
        <v>2026</v>
      </c>
      <c r="J1781" s="47">
        <v>100000000</v>
      </c>
      <c r="K1781" s="16" t="s">
        <v>62</v>
      </c>
      <c r="L1781" s="3" t="s">
        <v>60</v>
      </c>
      <c r="M1781" s="3" t="s">
        <v>71</v>
      </c>
      <c r="N1781" s="3" t="s">
        <v>72</v>
      </c>
    </row>
    <row r="1782" spans="1:14" x14ac:dyDescent="0.3">
      <c r="A1782" s="36" t="s">
        <v>37</v>
      </c>
      <c r="B1782" s="13">
        <v>117</v>
      </c>
      <c r="C1782" s="48" t="str">
        <f t="shared" ref="C1782:C1787" si="70">HYPERLINK("https://uscode.house.gov/statutes/pl/117/81.pdf", "P.L. 117-81")</f>
        <v>P.L. 117-81</v>
      </c>
      <c r="D1782" s="3" t="s">
        <v>3285</v>
      </c>
      <c r="E1782" s="3" t="s">
        <v>3286</v>
      </c>
      <c r="F1782" s="3" t="s">
        <v>3287</v>
      </c>
      <c r="G1782" s="48" t="str">
        <f>HYPERLINK("https://uscode.house.gov/view.xhtml?req=granuleid:USC-prelim-title22-section8606&amp;num=0&amp;edition=prelim", "22 U.S.C. 8606(note)")</f>
        <v>22 U.S.C. 8606(note)</v>
      </c>
      <c r="H1782" s="46">
        <v>46295</v>
      </c>
      <c r="I1782" s="13">
        <v>2026</v>
      </c>
      <c r="J1782" s="47">
        <v>6000000</v>
      </c>
      <c r="K1782" s="16" t="s">
        <v>62</v>
      </c>
      <c r="L1782" s="3" t="s">
        <v>642</v>
      </c>
      <c r="M1782" s="3" t="s">
        <v>230</v>
      </c>
      <c r="N1782" s="3" t="s">
        <v>122</v>
      </c>
    </row>
    <row r="1783" spans="1:14" x14ac:dyDescent="0.3">
      <c r="A1783" s="36" t="s">
        <v>37</v>
      </c>
      <c r="B1783" s="13">
        <v>117</v>
      </c>
      <c r="C1783" s="48" t="str">
        <f t="shared" si="70"/>
        <v>P.L. 117-81</v>
      </c>
      <c r="D1783" s="3" t="s">
        <v>3285</v>
      </c>
      <c r="F1783" s="3" t="s">
        <v>3288</v>
      </c>
      <c r="G1783" s="49"/>
      <c r="H1783" s="46">
        <v>46295</v>
      </c>
      <c r="I1783" s="13">
        <v>2026</v>
      </c>
      <c r="J1783" s="47">
        <v>1800000</v>
      </c>
      <c r="K1783" s="16" t="s">
        <v>62</v>
      </c>
      <c r="L1783" s="3" t="s">
        <v>80</v>
      </c>
      <c r="M1783" s="3" t="s">
        <v>81</v>
      </c>
      <c r="N1783" s="3" t="s">
        <v>82</v>
      </c>
    </row>
    <row r="1784" spans="1:14" x14ac:dyDescent="0.3">
      <c r="A1784" s="36" t="s">
        <v>37</v>
      </c>
      <c r="B1784" s="13">
        <v>117</v>
      </c>
      <c r="C1784" s="48" t="str">
        <f t="shared" si="70"/>
        <v>P.L. 117-81</v>
      </c>
      <c r="D1784" s="3" t="s">
        <v>3285</v>
      </c>
      <c r="F1784" s="3" t="s">
        <v>3289</v>
      </c>
      <c r="G1784" s="49"/>
      <c r="H1784" s="46">
        <v>46295</v>
      </c>
      <c r="I1784" s="13">
        <v>2026</v>
      </c>
      <c r="J1784" s="47">
        <v>100000</v>
      </c>
      <c r="K1784" s="16" t="s">
        <v>62</v>
      </c>
      <c r="L1784" s="3" t="s">
        <v>80</v>
      </c>
      <c r="M1784" s="3" t="s">
        <v>81</v>
      </c>
      <c r="N1784" s="3" t="s">
        <v>82</v>
      </c>
    </row>
    <row r="1785" spans="1:14" x14ac:dyDescent="0.3">
      <c r="A1785" s="36" t="s">
        <v>37</v>
      </c>
      <c r="B1785" s="13">
        <v>117</v>
      </c>
      <c r="C1785" s="48" t="str">
        <f t="shared" si="70"/>
        <v>P.L. 117-81</v>
      </c>
      <c r="D1785" s="3" t="s">
        <v>3285</v>
      </c>
      <c r="F1785" s="3" t="s">
        <v>3290</v>
      </c>
      <c r="G1785" s="49"/>
      <c r="H1785" s="46">
        <v>44834</v>
      </c>
      <c r="I1785" s="13">
        <v>2022</v>
      </c>
      <c r="J1785" s="47">
        <v>1983149000</v>
      </c>
      <c r="K1785" s="47">
        <v>1957821000</v>
      </c>
      <c r="L1785" s="3" t="s">
        <v>80</v>
      </c>
      <c r="M1785" s="3" t="s">
        <v>81</v>
      </c>
      <c r="N1785" s="3" t="s">
        <v>82</v>
      </c>
    </row>
    <row r="1786" spans="1:14" x14ac:dyDescent="0.3">
      <c r="A1786" s="36" t="s">
        <v>37</v>
      </c>
      <c r="B1786" s="13">
        <v>117</v>
      </c>
      <c r="C1786" s="48" t="str">
        <f t="shared" si="70"/>
        <v>P.L. 117-81</v>
      </c>
      <c r="D1786" s="3" t="s">
        <v>3285</v>
      </c>
      <c r="F1786" s="3" t="s">
        <v>3291</v>
      </c>
      <c r="G1786" s="49"/>
      <c r="H1786" s="46">
        <v>44834</v>
      </c>
      <c r="I1786" s="13">
        <v>2022</v>
      </c>
      <c r="J1786" s="47">
        <v>5000000</v>
      </c>
      <c r="K1786" s="16" t="s">
        <v>62</v>
      </c>
      <c r="L1786" s="3" t="s">
        <v>80</v>
      </c>
      <c r="M1786" s="3" t="s">
        <v>81</v>
      </c>
      <c r="N1786" s="3" t="s">
        <v>82</v>
      </c>
    </row>
    <row r="1787" spans="1:14" x14ac:dyDescent="0.3">
      <c r="A1787" s="36" t="s">
        <v>37</v>
      </c>
      <c r="B1787" s="13">
        <v>117</v>
      </c>
      <c r="C1787" s="48" t="str">
        <f t="shared" si="70"/>
        <v>P.L. 117-81</v>
      </c>
      <c r="D1787" s="3" t="s">
        <v>3285</v>
      </c>
      <c r="E1787" s="3" t="s">
        <v>3292</v>
      </c>
      <c r="F1787" s="3" t="s">
        <v>3293</v>
      </c>
      <c r="G1787" s="48" t="str">
        <f>HYPERLINK("https://uscode.house.gov/view.xhtml?req=granuleid:USC-prelim-title6-section474&amp;num=0&amp;edition=prelim", "6 U.S.C. 474")</f>
        <v>6 U.S.C. 474</v>
      </c>
      <c r="H1787" s="46">
        <v>46295</v>
      </c>
      <c r="I1787" s="13">
        <v>2026</v>
      </c>
      <c r="J1787" s="47">
        <v>1000000</v>
      </c>
      <c r="K1787" s="16" t="s">
        <v>62</v>
      </c>
      <c r="L1787" s="3" t="s">
        <v>642</v>
      </c>
      <c r="M1787" s="3" t="s">
        <v>230</v>
      </c>
      <c r="N1787" s="3" t="s">
        <v>122</v>
      </c>
    </row>
    <row r="1788" spans="1:14" x14ac:dyDescent="0.3">
      <c r="A1788" s="36" t="s">
        <v>37</v>
      </c>
      <c r="B1788" s="13">
        <v>117</v>
      </c>
      <c r="C1788" s="48" t="str">
        <f t="shared" ref="C1788:C1830" si="71">HYPERLINK("https://uscode.house.gov/statutes/pl/117/103.pdf", "P.L. 117-103")</f>
        <v>P.L. 117-103</v>
      </c>
      <c r="D1788" s="3" t="s">
        <v>3294</v>
      </c>
      <c r="E1788" s="3" t="s">
        <v>3295</v>
      </c>
      <c r="F1788" s="3" t="s">
        <v>3296</v>
      </c>
      <c r="G1788" s="48" t="str">
        <f>HYPERLINK("https://uscode.house.gov/view.xhtml?req=granuleid:USC-prelim-title21-section2003&amp;num=0&amp;edition=prelim", "21 U.S.C. 2003")</f>
        <v>21 U.S.C. 2003</v>
      </c>
      <c r="H1788" s="46">
        <v>48121</v>
      </c>
      <c r="I1788" s="13">
        <v>2031</v>
      </c>
      <c r="J1788" s="47">
        <v>23700000</v>
      </c>
      <c r="K1788" s="16" t="s">
        <v>62</v>
      </c>
      <c r="L1788" s="3" t="s">
        <v>229</v>
      </c>
      <c r="M1788" s="3" t="s">
        <v>42</v>
      </c>
      <c r="N1788" s="3" t="s">
        <v>55</v>
      </c>
    </row>
    <row r="1789" spans="1:14" x14ac:dyDescent="0.3">
      <c r="A1789" s="36" t="s">
        <v>37</v>
      </c>
      <c r="B1789" s="13">
        <v>117</v>
      </c>
      <c r="C1789" s="48" t="str">
        <f t="shared" si="71"/>
        <v>P.L. 117-103</v>
      </c>
      <c r="D1789" s="3" t="s">
        <v>3294</v>
      </c>
      <c r="E1789" s="3" t="s">
        <v>3297</v>
      </c>
      <c r="F1789" s="3" t="s">
        <v>3298</v>
      </c>
      <c r="G1789" s="48" t="str">
        <f>HYPERLINK("https://uscode.house.gov/view.xhtml?req=granuleid:USC-prelim-title34-section10261&amp;num=0&amp;edition=prelim", "34 U.S.C. 10261(a)(18)")</f>
        <v>34 U.S.C. 10261(a)(18)</v>
      </c>
      <c r="H1789" s="46">
        <v>46660</v>
      </c>
      <c r="I1789" s="13">
        <v>2027</v>
      </c>
      <c r="J1789" s="47">
        <v>222000000</v>
      </c>
      <c r="K1789" s="16" t="s">
        <v>62</v>
      </c>
      <c r="L1789" s="3" t="s">
        <v>41</v>
      </c>
      <c r="M1789" s="3" t="s">
        <v>42</v>
      </c>
      <c r="N1789" s="3" t="s">
        <v>43</v>
      </c>
    </row>
    <row r="1790" spans="1:14" x14ac:dyDescent="0.3">
      <c r="A1790" s="36" t="s">
        <v>37</v>
      </c>
      <c r="B1790" s="13">
        <v>117</v>
      </c>
      <c r="C1790" s="48" t="str">
        <f t="shared" si="71"/>
        <v>P.L. 117-103</v>
      </c>
      <c r="D1790" s="3" t="s">
        <v>3294</v>
      </c>
      <c r="E1790" s="3" t="s">
        <v>3299</v>
      </c>
      <c r="F1790" s="3" t="s">
        <v>3300</v>
      </c>
      <c r="G1790" s="48" t="str">
        <f>HYPERLINK("https://uscode.house.gov/view.xhtml?req=granuleid:USC-prelim-title34-section10261&amp;num=0&amp;edition=prelim", "34 U.S.C. 10261(a)(19)")</f>
        <v>34 U.S.C. 10261(a)(19)</v>
      </c>
      <c r="H1790" s="46">
        <v>46660</v>
      </c>
      <c r="I1790" s="13">
        <v>2027</v>
      </c>
      <c r="J1790" s="47">
        <v>73000000</v>
      </c>
      <c r="K1790" s="16" t="s">
        <v>62</v>
      </c>
      <c r="L1790" s="3" t="s">
        <v>41</v>
      </c>
      <c r="M1790" s="3" t="s">
        <v>42</v>
      </c>
      <c r="N1790" s="3" t="s">
        <v>43</v>
      </c>
    </row>
    <row r="1791" spans="1:14" x14ac:dyDescent="0.3">
      <c r="A1791" s="36" t="s">
        <v>37</v>
      </c>
      <c r="B1791" s="13">
        <v>117</v>
      </c>
      <c r="C1791" s="48" t="str">
        <f t="shared" si="71"/>
        <v>P.L. 117-103</v>
      </c>
      <c r="D1791" s="3" t="s">
        <v>3294</v>
      </c>
      <c r="E1791" s="3" t="s">
        <v>3301</v>
      </c>
      <c r="F1791" s="3" t="s">
        <v>3302</v>
      </c>
      <c r="G1791" s="48" t="str">
        <f>HYPERLINK("https://uscode.house.gov/view.xhtml?req=granuleid:USC-prelim-title34-section20121&amp;num=0&amp;edition=prelim", "34 U.S.C. 20121(f)(1)")</f>
        <v>34 U.S.C. 20121(f)(1)</v>
      </c>
      <c r="H1791" s="46">
        <v>46660</v>
      </c>
      <c r="I1791" s="13">
        <v>2027</v>
      </c>
      <c r="J1791" s="47">
        <v>60000000</v>
      </c>
      <c r="K1791" s="16" t="s">
        <v>62</v>
      </c>
      <c r="L1791" s="3" t="s">
        <v>41</v>
      </c>
      <c r="M1791" s="3" t="s">
        <v>42</v>
      </c>
      <c r="N1791" s="3" t="s">
        <v>43</v>
      </c>
    </row>
    <row r="1792" spans="1:14" x14ac:dyDescent="0.3">
      <c r="A1792" s="36" t="s">
        <v>37</v>
      </c>
      <c r="B1792" s="13">
        <v>117</v>
      </c>
      <c r="C1792" s="48" t="str">
        <f t="shared" si="71"/>
        <v>P.L. 117-103</v>
      </c>
      <c r="D1792" s="3" t="s">
        <v>3294</v>
      </c>
      <c r="E1792" s="3" t="s">
        <v>3303</v>
      </c>
      <c r="F1792" s="3" t="s">
        <v>3304</v>
      </c>
      <c r="G1792" s="48" t="str">
        <f>HYPERLINK("https://uscode.house.gov/view.xhtml?req=granuleid:USC-prelim-title34-section12464&amp;num=0&amp;edition=prelim", "34 U.S.C. 12464(e)")</f>
        <v>34 U.S.C. 12464(e)</v>
      </c>
      <c r="H1792" s="46">
        <v>46660</v>
      </c>
      <c r="I1792" s="13">
        <v>2027</v>
      </c>
      <c r="J1792" s="47">
        <v>22000000</v>
      </c>
      <c r="K1792" s="16" t="s">
        <v>62</v>
      </c>
      <c r="L1792" s="3" t="s">
        <v>41</v>
      </c>
      <c r="M1792" s="3" t="s">
        <v>42</v>
      </c>
      <c r="N1792" s="3" t="s">
        <v>43</v>
      </c>
    </row>
    <row r="1793" spans="1:14" x14ac:dyDescent="0.3">
      <c r="A1793" s="36" t="s">
        <v>37</v>
      </c>
      <c r="B1793" s="13">
        <v>117</v>
      </c>
      <c r="C1793" s="48" t="str">
        <f t="shared" si="71"/>
        <v>P.L. 117-103</v>
      </c>
      <c r="D1793" s="3" t="s">
        <v>3294</v>
      </c>
      <c r="E1793" s="3" t="s">
        <v>3305</v>
      </c>
      <c r="F1793" s="3" t="s">
        <v>3306</v>
      </c>
      <c r="G1793" s="48" t="str">
        <f>HYPERLINK("https://uscode.house.gov/view.xhtml?req=granuleid:USC-prelim-title34-section20123&amp;num=0&amp;edition=prelim", "34 U.S.C. 20123(g)")</f>
        <v>34 U.S.C. 20123(g)</v>
      </c>
      <c r="H1793" s="46">
        <v>46660</v>
      </c>
      <c r="I1793" s="13">
        <v>2027</v>
      </c>
      <c r="J1793" s="47">
        <v>6000000</v>
      </c>
      <c r="K1793" s="16" t="s">
        <v>62</v>
      </c>
      <c r="L1793" s="3" t="s">
        <v>41</v>
      </c>
      <c r="M1793" s="3" t="s">
        <v>42</v>
      </c>
      <c r="N1793" s="3" t="s">
        <v>43</v>
      </c>
    </row>
    <row r="1794" spans="1:14" x14ac:dyDescent="0.3">
      <c r="A1794" s="36" t="s">
        <v>37</v>
      </c>
      <c r="B1794" s="13">
        <v>117</v>
      </c>
      <c r="C1794" s="48" t="str">
        <f t="shared" si="71"/>
        <v>P.L. 117-103</v>
      </c>
      <c r="D1794" s="3" t="s">
        <v>3294</v>
      </c>
      <c r="E1794" s="3" t="s">
        <v>3307</v>
      </c>
      <c r="F1794" s="3" t="s">
        <v>3308</v>
      </c>
      <c r="G1794" s="48" t="str">
        <f>HYPERLINK("https://uscode.house.gov/view.xhtml?req=granuleid:USC-prelim-title34-section21308&amp;num=0&amp;edition=prelim", "34 U.S.C. 21308")</f>
        <v>34 U.S.C. 21308</v>
      </c>
      <c r="H1794" s="46">
        <v>46660</v>
      </c>
      <c r="I1794" s="13">
        <v>2027</v>
      </c>
      <c r="J1794" s="47">
        <v>5000000</v>
      </c>
      <c r="K1794" s="16" t="s">
        <v>62</v>
      </c>
      <c r="L1794" s="3" t="s">
        <v>41</v>
      </c>
      <c r="M1794" s="3" t="s">
        <v>42</v>
      </c>
      <c r="N1794" s="3" t="s">
        <v>43</v>
      </c>
    </row>
    <row r="1795" spans="1:14" x14ac:dyDescent="0.3">
      <c r="A1795" s="36" t="s">
        <v>37</v>
      </c>
      <c r="B1795" s="13">
        <v>117</v>
      </c>
      <c r="C1795" s="48" t="str">
        <f t="shared" si="71"/>
        <v>P.L. 117-103</v>
      </c>
      <c r="D1795" s="3" t="s">
        <v>3294</v>
      </c>
      <c r="E1795" s="3" t="s">
        <v>3309</v>
      </c>
      <c r="F1795" s="3" t="s">
        <v>3310</v>
      </c>
      <c r="G1795" s="48" t="str">
        <f>HYPERLINK("https://uscode.house.gov/view.xhtml?req=granuleid:USC-prelim-title34-section20124&amp;num=0&amp;edition=prelim", "34 U.S.C. 20124(a)(3)")</f>
        <v>34 U.S.C. 20124(a)(3)</v>
      </c>
      <c r="H1795" s="46">
        <v>46660</v>
      </c>
      <c r="I1795" s="13">
        <v>2027</v>
      </c>
      <c r="J1795" s="47">
        <v>25000000</v>
      </c>
      <c r="K1795" s="16" t="s">
        <v>62</v>
      </c>
      <c r="L1795" s="3" t="s">
        <v>41</v>
      </c>
      <c r="M1795" s="3" t="s">
        <v>42</v>
      </c>
      <c r="N1795" s="3" t="s">
        <v>43</v>
      </c>
    </row>
    <row r="1796" spans="1:14" x14ac:dyDescent="0.3">
      <c r="A1796" s="36" t="s">
        <v>37</v>
      </c>
      <c r="B1796" s="13">
        <v>117</v>
      </c>
      <c r="C1796" s="48" t="str">
        <f t="shared" si="71"/>
        <v>P.L. 117-103</v>
      </c>
      <c r="D1796" s="3" t="s">
        <v>3294</v>
      </c>
      <c r="E1796" s="3" t="s">
        <v>3311</v>
      </c>
      <c r="F1796" s="3" t="s">
        <v>3312</v>
      </c>
      <c r="G1796" s="49"/>
      <c r="H1796" s="46">
        <v>46660</v>
      </c>
      <c r="I1796" s="13">
        <v>2027</v>
      </c>
      <c r="J1796" s="16" t="s">
        <v>12</v>
      </c>
      <c r="K1796" s="16" t="s">
        <v>62</v>
      </c>
      <c r="L1796" s="3" t="s">
        <v>41</v>
      </c>
      <c r="M1796" s="3" t="s">
        <v>42</v>
      </c>
      <c r="N1796" s="3" t="s">
        <v>43</v>
      </c>
    </row>
    <row r="1797" spans="1:14" x14ac:dyDescent="0.3">
      <c r="A1797" s="36" t="s">
        <v>37</v>
      </c>
      <c r="B1797" s="13">
        <v>117</v>
      </c>
      <c r="C1797" s="48" t="str">
        <f t="shared" si="71"/>
        <v>P.L. 117-103</v>
      </c>
      <c r="D1797" s="3" t="s">
        <v>3294</v>
      </c>
      <c r="E1797" s="3" t="s">
        <v>3313</v>
      </c>
      <c r="F1797" s="3" t="s">
        <v>3314</v>
      </c>
      <c r="G1797" s="48" t="str">
        <f>HYPERLINK("https://uscode.house.gov/view.xhtml?req=granuleid:USC-prelim-title34-section12511&amp;num=0&amp;edition=prelim", "34 U.S.C. 12511(f)(1)")</f>
        <v>34 U.S.C. 12511(f)(1)</v>
      </c>
      <c r="H1797" s="46">
        <v>46660</v>
      </c>
      <c r="I1797" s="13">
        <v>2027</v>
      </c>
      <c r="J1797" s="47">
        <v>100000000</v>
      </c>
      <c r="K1797" s="16" t="s">
        <v>62</v>
      </c>
      <c r="L1797" s="3" t="s">
        <v>41</v>
      </c>
      <c r="M1797" s="3" t="s">
        <v>42</v>
      </c>
      <c r="N1797" s="3" t="s">
        <v>43</v>
      </c>
    </row>
    <row r="1798" spans="1:14" x14ac:dyDescent="0.3">
      <c r="A1798" s="36" t="s">
        <v>37</v>
      </c>
      <c r="B1798" s="13">
        <v>117</v>
      </c>
      <c r="C1798" s="48" t="str">
        <f t="shared" si="71"/>
        <v>P.L. 117-103</v>
      </c>
      <c r="D1798" s="3" t="s">
        <v>3294</v>
      </c>
      <c r="E1798" s="3" t="s">
        <v>3315</v>
      </c>
      <c r="F1798" s="3" t="s">
        <v>3316</v>
      </c>
      <c r="G1798" s="48" t="str">
        <f>HYPERLINK("https://uscode.house.gov/view.xhtml?req=granuleid:USC-prelim-title34-section12341&amp;num=0&amp;edition=prelim", "34 U.S.C. 12341(e)(1)")</f>
        <v>34 U.S.C. 12341(e)(1)</v>
      </c>
      <c r="H1798" s="46">
        <v>46660</v>
      </c>
      <c r="I1798" s="13">
        <v>2027</v>
      </c>
      <c r="J1798" s="47">
        <v>100000000</v>
      </c>
      <c r="K1798" s="16" t="s">
        <v>62</v>
      </c>
      <c r="L1798" s="3" t="s">
        <v>41</v>
      </c>
      <c r="M1798" s="3" t="s">
        <v>42</v>
      </c>
      <c r="N1798" s="3" t="s">
        <v>43</v>
      </c>
    </row>
    <row r="1799" spans="1:14" x14ac:dyDescent="0.3">
      <c r="A1799" s="36" t="s">
        <v>37</v>
      </c>
      <c r="B1799" s="13">
        <v>117</v>
      </c>
      <c r="C1799" s="48" t="str">
        <f t="shared" si="71"/>
        <v>P.L. 117-103</v>
      </c>
      <c r="D1799" s="3" t="s">
        <v>3294</v>
      </c>
      <c r="E1799" s="3" t="s">
        <v>3317</v>
      </c>
      <c r="F1799" s="3" t="s">
        <v>3318</v>
      </c>
      <c r="G1799" s="48" t="str">
        <f>HYPERLINK("https://uscode.house.gov/view.xhtml?req=granuleid:USC-prelim-title34-section20122&amp;num=0&amp;edition=prelim", "34 U.S.C. 20122(e)")</f>
        <v>34 U.S.C. 20122(e)</v>
      </c>
      <c r="H1799" s="46">
        <v>46660</v>
      </c>
      <c r="I1799" s="13">
        <v>2027</v>
      </c>
      <c r="J1799" s="47">
        <v>15000000</v>
      </c>
      <c r="K1799" s="16" t="s">
        <v>62</v>
      </c>
      <c r="L1799" s="3" t="s">
        <v>41</v>
      </c>
      <c r="M1799" s="3" t="s">
        <v>42</v>
      </c>
      <c r="N1799" s="3" t="s">
        <v>43</v>
      </c>
    </row>
    <row r="1800" spans="1:14" x14ac:dyDescent="0.3">
      <c r="A1800" s="36" t="s">
        <v>37</v>
      </c>
      <c r="B1800" s="13">
        <v>117</v>
      </c>
      <c r="C1800" s="48" t="str">
        <f t="shared" si="71"/>
        <v>P.L. 117-103</v>
      </c>
      <c r="D1800" s="3" t="s">
        <v>3294</v>
      </c>
      <c r="E1800" s="3" t="s">
        <v>3319</v>
      </c>
      <c r="F1800" s="3" t="s">
        <v>3320</v>
      </c>
      <c r="G1800" s="48" t="str">
        <f>HYPERLINK("https://uscode.house.gov/view.xhtml?req=granuleid:USC-prelim-title34-section12421&amp;num=0&amp;edition=prelim", "34 U.S.C. 12421(4)")</f>
        <v>34 U.S.C. 12421(4)</v>
      </c>
      <c r="H1800" s="46">
        <v>46660</v>
      </c>
      <c r="I1800" s="13">
        <v>2027</v>
      </c>
      <c r="J1800" s="47">
        <v>10000000</v>
      </c>
      <c r="K1800" s="16" t="s">
        <v>62</v>
      </c>
      <c r="L1800" s="3" t="s">
        <v>41</v>
      </c>
      <c r="M1800" s="3" t="s">
        <v>42</v>
      </c>
      <c r="N1800" s="3" t="s">
        <v>43</v>
      </c>
    </row>
    <row r="1801" spans="1:14" x14ac:dyDescent="0.3">
      <c r="A1801" s="36" t="s">
        <v>37</v>
      </c>
      <c r="B1801" s="13">
        <v>117</v>
      </c>
      <c r="C1801" s="48" t="str">
        <f t="shared" si="71"/>
        <v>P.L. 117-103</v>
      </c>
      <c r="D1801" s="3" t="s">
        <v>3294</v>
      </c>
      <c r="E1801" s="3" t="s">
        <v>3321</v>
      </c>
      <c r="F1801" s="3" t="s">
        <v>3322</v>
      </c>
      <c r="G1801" s="49"/>
      <c r="H1801" s="46">
        <v>46660</v>
      </c>
      <c r="I1801" s="13">
        <v>2027</v>
      </c>
      <c r="J1801" s="47">
        <v>5000000</v>
      </c>
      <c r="K1801" s="16" t="s">
        <v>62</v>
      </c>
      <c r="L1801" s="3" t="s">
        <v>41</v>
      </c>
      <c r="M1801" s="3" t="s">
        <v>42</v>
      </c>
      <c r="N1801" s="3" t="s">
        <v>43</v>
      </c>
    </row>
    <row r="1802" spans="1:14" x14ac:dyDescent="0.3">
      <c r="A1802" s="36" t="s">
        <v>37</v>
      </c>
      <c r="B1802" s="13">
        <v>117</v>
      </c>
      <c r="C1802" s="48" t="str">
        <f t="shared" si="71"/>
        <v>P.L. 117-103</v>
      </c>
      <c r="D1802" s="3" t="s">
        <v>3294</v>
      </c>
      <c r="E1802" s="3" t="s">
        <v>3323</v>
      </c>
      <c r="F1802" s="3" t="s">
        <v>3324</v>
      </c>
      <c r="G1802" s="49"/>
      <c r="H1802" s="46">
        <v>46660</v>
      </c>
      <c r="I1802" s="13">
        <v>2027</v>
      </c>
      <c r="J1802" s="47">
        <v>8000000</v>
      </c>
      <c r="K1802" s="16" t="s">
        <v>62</v>
      </c>
      <c r="L1802" s="3" t="s">
        <v>41</v>
      </c>
      <c r="M1802" s="3" t="s">
        <v>42</v>
      </c>
      <c r="N1802" s="3" t="s">
        <v>43</v>
      </c>
    </row>
    <row r="1803" spans="1:14" x14ac:dyDescent="0.3">
      <c r="A1803" s="36" t="s">
        <v>37</v>
      </c>
      <c r="B1803" s="13">
        <v>117</v>
      </c>
      <c r="C1803" s="48" t="str">
        <f t="shared" si="71"/>
        <v>P.L. 117-103</v>
      </c>
      <c r="D1803" s="3" t="s">
        <v>3294</v>
      </c>
      <c r="E1803" s="3" t="s">
        <v>3339</v>
      </c>
      <c r="F1803" s="3" t="s">
        <v>3340</v>
      </c>
      <c r="G1803" s="48" t="str">
        <f>HYPERLINK("https://uscode.house.gov/view.xhtml?req=granuleid:USC-prelim-title42-section280g-4b&amp;num=0&amp;edition=prelim", "42 U.S.C. 280g-4b(f)")</f>
        <v>42 U.S.C. 280g-4b(f)</v>
      </c>
      <c r="H1803" s="46">
        <v>46660</v>
      </c>
      <c r="I1803" s="13">
        <v>2027</v>
      </c>
      <c r="J1803" s="47">
        <v>10000000</v>
      </c>
      <c r="K1803" s="16" t="s">
        <v>62</v>
      </c>
      <c r="L1803" s="3" t="s">
        <v>130</v>
      </c>
      <c r="M1803" s="3" t="s">
        <v>71</v>
      </c>
      <c r="N1803" s="3" t="s">
        <v>72</v>
      </c>
    </row>
    <row r="1804" spans="1:14" x14ac:dyDescent="0.3">
      <c r="A1804" s="36" t="s">
        <v>37</v>
      </c>
      <c r="B1804" s="13">
        <v>117</v>
      </c>
      <c r="C1804" s="48" t="str">
        <f t="shared" si="71"/>
        <v>P.L. 117-103</v>
      </c>
      <c r="D1804" s="3" t="s">
        <v>3294</v>
      </c>
      <c r="E1804" s="3" t="s">
        <v>3327</v>
      </c>
      <c r="F1804" s="3" t="s">
        <v>3328</v>
      </c>
      <c r="G1804" s="48" t="str">
        <f>HYPERLINK("https://uscode.house.gov/view.xhtml?req=granuleid:USC-prelim-title42-section280g-4a&amp;num=0&amp;edition=prelim", "42 U.S.C. 280g-4a(e)")</f>
        <v>42 U.S.C. 280g-4a(e)</v>
      </c>
      <c r="H1804" s="46">
        <v>46660</v>
      </c>
      <c r="I1804" s="13">
        <v>2027</v>
      </c>
      <c r="J1804" s="47">
        <v>7000000</v>
      </c>
      <c r="K1804" s="16" t="s">
        <v>62</v>
      </c>
      <c r="L1804" s="3" t="s">
        <v>60</v>
      </c>
      <c r="M1804" s="3" t="s">
        <v>71</v>
      </c>
      <c r="N1804" s="3" t="s">
        <v>72</v>
      </c>
    </row>
    <row r="1805" spans="1:14" x14ac:dyDescent="0.3">
      <c r="A1805" s="36" t="s">
        <v>37</v>
      </c>
      <c r="B1805" s="13">
        <v>117</v>
      </c>
      <c r="C1805" s="48" t="str">
        <f t="shared" si="71"/>
        <v>P.L. 117-103</v>
      </c>
      <c r="D1805" s="3" t="s">
        <v>3294</v>
      </c>
      <c r="E1805" s="3" t="s">
        <v>3329</v>
      </c>
      <c r="F1805" s="3" t="s">
        <v>3330</v>
      </c>
      <c r="G1805" s="48" t="str">
        <f>HYPERLINK("https://uscode.house.gov/view.xhtml?req=granuleid:USC-prelim-title42-section280g-4b&amp;num=0&amp;edition=prelim", "42 U.S.C. 280g-4b(note)")</f>
        <v>42 U.S.C. 280g-4b(note)</v>
      </c>
      <c r="H1805" s="46">
        <v>45930</v>
      </c>
      <c r="I1805" s="13">
        <v>2025</v>
      </c>
      <c r="J1805" s="47">
        <v>5000000</v>
      </c>
      <c r="K1805" s="16" t="s">
        <v>62</v>
      </c>
      <c r="L1805" s="3" t="s">
        <v>60</v>
      </c>
      <c r="M1805" s="3" t="s">
        <v>71</v>
      </c>
      <c r="N1805" s="3" t="s">
        <v>72</v>
      </c>
    </row>
    <row r="1806" spans="1:14" x14ac:dyDescent="0.3">
      <c r="A1806" s="36" t="s">
        <v>37</v>
      </c>
      <c r="B1806" s="13">
        <v>117</v>
      </c>
      <c r="C1806" s="48" t="str">
        <f t="shared" si="71"/>
        <v>P.L. 117-103</v>
      </c>
      <c r="D1806" s="3" t="s">
        <v>3294</v>
      </c>
      <c r="E1806" s="3" t="s">
        <v>3331</v>
      </c>
      <c r="F1806" s="3" t="s">
        <v>3332</v>
      </c>
      <c r="G1806" s="48" t="str">
        <f>HYPERLINK("https://uscode.house.gov/view.xhtml?req=granuleid:USC-prelim-title34-section20125&amp;num=0&amp;edition=prelim", "34 U.S.C. 20125(e)")</f>
        <v>34 U.S.C. 20125(e)</v>
      </c>
      <c r="H1806" s="46">
        <v>46660</v>
      </c>
      <c r="I1806" s="13">
        <v>2027</v>
      </c>
      <c r="J1806" s="47">
        <v>15000000</v>
      </c>
      <c r="K1806" s="16" t="s">
        <v>62</v>
      </c>
      <c r="L1806" s="3" t="s">
        <v>41</v>
      </c>
      <c r="M1806" s="3" t="s">
        <v>42</v>
      </c>
      <c r="N1806" s="3" t="s">
        <v>43</v>
      </c>
    </row>
    <row r="1807" spans="1:14" x14ac:dyDescent="0.3">
      <c r="A1807" s="36" t="s">
        <v>37</v>
      </c>
      <c r="B1807" s="13">
        <v>117</v>
      </c>
      <c r="C1807" s="48" t="str">
        <f t="shared" si="71"/>
        <v>P.L. 117-103</v>
      </c>
      <c r="D1807" s="3" t="s">
        <v>3294</v>
      </c>
      <c r="E1807" s="3" t="s">
        <v>3333</v>
      </c>
      <c r="F1807" s="3" t="s">
        <v>3334</v>
      </c>
      <c r="G1807" s="48" t="str">
        <f>HYPERLINK("https://uscode.house.gov/view.xhtml?req=granuleid:USC-prelim-title42-section280b-4&amp;num=0&amp;edition=prelim", "42 U.S.C. 280b-4(c)")</f>
        <v>42 U.S.C. 280b-4(c)</v>
      </c>
      <c r="H1807" s="46">
        <v>46660</v>
      </c>
      <c r="I1807" s="13">
        <v>2027</v>
      </c>
      <c r="J1807" s="47">
        <v>1000000</v>
      </c>
      <c r="K1807" s="16" t="s">
        <v>62</v>
      </c>
      <c r="L1807" s="3" t="s">
        <v>41</v>
      </c>
      <c r="M1807" s="3" t="s">
        <v>42</v>
      </c>
      <c r="N1807" s="3" t="s">
        <v>72</v>
      </c>
    </row>
    <row r="1808" spans="1:14" x14ac:dyDescent="0.3">
      <c r="A1808" s="36" t="s">
        <v>37</v>
      </c>
      <c r="B1808" s="13">
        <v>117</v>
      </c>
      <c r="C1808" s="48" t="str">
        <f t="shared" si="71"/>
        <v>P.L. 117-103</v>
      </c>
      <c r="D1808" s="3" t="s">
        <v>3294</v>
      </c>
      <c r="E1808" s="3" t="s">
        <v>3335</v>
      </c>
      <c r="F1808" s="3" t="s">
        <v>3336</v>
      </c>
      <c r="G1808" s="48" t="str">
        <f>HYPERLINK("https://uscode.house.gov/view.xhtml?req=granuleid:USC-prelim-title34-section12463&amp;num=0&amp;edition=prelim", "34 U.S.C. 12463(f)")</f>
        <v>34 U.S.C. 12463(f)</v>
      </c>
      <c r="H1808" s="46">
        <v>46660</v>
      </c>
      <c r="I1808" s="13">
        <v>2027</v>
      </c>
      <c r="J1808" s="47">
        <v>20000000</v>
      </c>
      <c r="K1808" s="16" t="s">
        <v>62</v>
      </c>
      <c r="L1808" s="3" t="s">
        <v>41</v>
      </c>
      <c r="M1808" s="3" t="s">
        <v>42</v>
      </c>
      <c r="N1808" s="3" t="s">
        <v>43</v>
      </c>
    </row>
    <row r="1809" spans="1:14" x14ac:dyDescent="0.3">
      <c r="A1809" s="36" t="s">
        <v>37</v>
      </c>
      <c r="B1809" s="13">
        <v>117</v>
      </c>
      <c r="C1809" s="48" t="str">
        <f t="shared" si="71"/>
        <v>P.L. 117-103</v>
      </c>
      <c r="D1809" s="3" t="s">
        <v>3294</v>
      </c>
      <c r="E1809" s="3" t="s">
        <v>3337</v>
      </c>
      <c r="F1809" s="3" t="s">
        <v>3338</v>
      </c>
      <c r="G1809" s="48" t="str">
        <f>HYPERLINK("https://uscode.house.gov/view.xhtml?req=granuleid:USC-prelim-title28-section534&amp;num=0&amp;edition=prelim", "28 U.S.C. 534(d)(2b)")</f>
        <v>28 U.S.C. 534(d)(2b)</v>
      </c>
      <c r="H1809" s="46">
        <v>46660</v>
      </c>
      <c r="I1809" s="13">
        <v>2027</v>
      </c>
      <c r="J1809" s="47">
        <v>6000000</v>
      </c>
      <c r="K1809" s="16" t="s">
        <v>62</v>
      </c>
      <c r="L1809" s="3" t="s">
        <v>41</v>
      </c>
      <c r="M1809" s="3" t="s">
        <v>42</v>
      </c>
      <c r="N1809" s="3" t="s">
        <v>43</v>
      </c>
    </row>
    <row r="1810" spans="1:14" x14ac:dyDescent="0.3">
      <c r="A1810" s="36" t="s">
        <v>37</v>
      </c>
      <c r="B1810" s="13">
        <v>117</v>
      </c>
      <c r="C1810" s="48" t="str">
        <f t="shared" si="71"/>
        <v>P.L. 117-103</v>
      </c>
      <c r="D1810" s="3" t="s">
        <v>3294</v>
      </c>
      <c r="E1810" s="3" t="s">
        <v>3381</v>
      </c>
      <c r="F1810" s="3" t="s">
        <v>3382</v>
      </c>
      <c r="G1810" s="48" t="str">
        <f>HYPERLINK("https://uscode.house.gov/view.xhtml?req=granuleid:USC-prelim-title34-section12474&amp;num=0&amp;edition=prelim", "34 U.S.C. 12474")</f>
        <v>34 U.S.C. 12474</v>
      </c>
      <c r="H1810" s="46">
        <v>46660</v>
      </c>
      <c r="I1810" s="13">
        <v>2027</v>
      </c>
      <c r="J1810" s="47">
        <v>4000000</v>
      </c>
      <c r="K1810" s="16" t="s">
        <v>62</v>
      </c>
      <c r="L1810" s="3" t="s">
        <v>130</v>
      </c>
      <c r="M1810" s="3" t="s">
        <v>418</v>
      </c>
      <c r="N1810" s="3" t="s">
        <v>72</v>
      </c>
    </row>
    <row r="1811" spans="1:14" x14ac:dyDescent="0.3">
      <c r="A1811" s="36" t="s">
        <v>37</v>
      </c>
      <c r="B1811" s="13">
        <v>117</v>
      </c>
      <c r="C1811" s="48" t="str">
        <f t="shared" si="71"/>
        <v>P.L. 117-103</v>
      </c>
      <c r="D1811" s="3" t="s">
        <v>3294</v>
      </c>
      <c r="E1811" s="3" t="s">
        <v>3341</v>
      </c>
      <c r="F1811" s="3" t="s">
        <v>3342</v>
      </c>
      <c r="G1811" s="49"/>
      <c r="H1811" s="46">
        <v>46660</v>
      </c>
      <c r="I1811" s="13">
        <v>2027</v>
      </c>
      <c r="J1811" s="47">
        <v>8000000</v>
      </c>
      <c r="K1811" s="16" t="s">
        <v>62</v>
      </c>
      <c r="L1811" s="3" t="s">
        <v>41</v>
      </c>
      <c r="M1811" s="3" t="s">
        <v>42</v>
      </c>
      <c r="N1811" s="3" t="s">
        <v>43</v>
      </c>
    </row>
    <row r="1812" spans="1:14" x14ac:dyDescent="0.3">
      <c r="A1812" s="36" t="s">
        <v>37</v>
      </c>
      <c r="B1812" s="13">
        <v>117</v>
      </c>
      <c r="C1812" s="48" t="str">
        <f t="shared" si="71"/>
        <v>P.L. 117-103</v>
      </c>
      <c r="D1812" s="3" t="s">
        <v>3294</v>
      </c>
      <c r="E1812" s="3" t="s">
        <v>3343</v>
      </c>
      <c r="F1812" s="3" t="s">
        <v>3344</v>
      </c>
      <c r="G1812" s="48" t="str">
        <f>HYPERLINK("https://uscode.house.gov/view.xhtml?req=granuleid:USC-prelim-title42-section280g-4c&amp;num=0&amp;edition=prelim", "42 U.S.C. 280g-4c(b)")</f>
        <v>42 U.S.C. 280g-4c(b)</v>
      </c>
      <c r="H1812" s="46">
        <v>46660</v>
      </c>
      <c r="I1812" s="13">
        <v>2027</v>
      </c>
      <c r="J1812" s="47">
        <v>5000000</v>
      </c>
      <c r="K1812" s="16" t="s">
        <v>62</v>
      </c>
      <c r="L1812" s="3" t="s">
        <v>60</v>
      </c>
      <c r="M1812" s="3" t="s">
        <v>71</v>
      </c>
      <c r="N1812" s="3" t="s">
        <v>72</v>
      </c>
    </row>
    <row r="1813" spans="1:14" x14ac:dyDescent="0.3">
      <c r="A1813" s="36" t="s">
        <v>37</v>
      </c>
      <c r="B1813" s="13">
        <v>117</v>
      </c>
      <c r="C1813" s="48" t="str">
        <f t="shared" si="71"/>
        <v>P.L. 117-103</v>
      </c>
      <c r="D1813" s="3" t="s">
        <v>3294</v>
      </c>
      <c r="E1813" s="3" t="s">
        <v>3345</v>
      </c>
      <c r="F1813" s="3" t="s">
        <v>3346</v>
      </c>
      <c r="G1813" s="49"/>
      <c r="H1813" s="46">
        <v>46660</v>
      </c>
      <c r="I1813" s="13">
        <v>2027</v>
      </c>
      <c r="J1813" s="47">
        <v>5000000</v>
      </c>
      <c r="K1813" s="16" t="s">
        <v>62</v>
      </c>
      <c r="L1813" s="3" t="s">
        <v>41</v>
      </c>
      <c r="M1813" s="3" t="s">
        <v>42</v>
      </c>
      <c r="N1813" s="3" t="s">
        <v>43</v>
      </c>
    </row>
    <row r="1814" spans="1:14" x14ac:dyDescent="0.3">
      <c r="A1814" s="36" t="s">
        <v>37</v>
      </c>
      <c r="B1814" s="13">
        <v>117</v>
      </c>
      <c r="C1814" s="48" t="str">
        <f t="shared" si="71"/>
        <v>P.L. 117-103</v>
      </c>
      <c r="D1814" s="3" t="s">
        <v>3294</v>
      </c>
      <c r="E1814" s="3" t="s">
        <v>3347</v>
      </c>
      <c r="F1814" s="3" t="s">
        <v>3348</v>
      </c>
      <c r="G1814" s="49"/>
      <c r="H1814" s="46">
        <v>46660</v>
      </c>
      <c r="I1814" s="13">
        <v>2027</v>
      </c>
      <c r="J1814" s="47">
        <v>3000000</v>
      </c>
      <c r="K1814" s="16" t="s">
        <v>62</v>
      </c>
      <c r="L1814" s="3" t="s">
        <v>60</v>
      </c>
      <c r="M1814" s="3" t="s">
        <v>71</v>
      </c>
      <c r="N1814" s="3" t="s">
        <v>72</v>
      </c>
    </row>
    <row r="1815" spans="1:14" x14ac:dyDescent="0.3">
      <c r="A1815" s="36" t="s">
        <v>37</v>
      </c>
      <c r="B1815" s="13">
        <v>117</v>
      </c>
      <c r="C1815" s="48" t="str">
        <f t="shared" si="71"/>
        <v>P.L. 117-103</v>
      </c>
      <c r="D1815" s="3" t="s">
        <v>3294</v>
      </c>
      <c r="E1815" s="3" t="s">
        <v>3349</v>
      </c>
      <c r="F1815" s="3" t="s">
        <v>3350</v>
      </c>
      <c r="G1815" s="48" t="str">
        <f>HYPERLINK("https://uscode.house.gov/view.xhtml?req=granuleid:USC-prelim-title34-section12402&amp;num=0&amp;edition=prelim", "34 U.S.C. 12402")</f>
        <v>34 U.S.C. 12402</v>
      </c>
      <c r="H1815" s="46">
        <v>46660</v>
      </c>
      <c r="I1815" s="13">
        <v>2027</v>
      </c>
      <c r="J1815" s="47">
        <v>3000000</v>
      </c>
      <c r="K1815" s="16" t="s">
        <v>62</v>
      </c>
      <c r="L1815" s="3" t="s">
        <v>41</v>
      </c>
      <c r="M1815" s="3" t="s">
        <v>42</v>
      </c>
      <c r="N1815" s="3" t="s">
        <v>43</v>
      </c>
    </row>
    <row r="1816" spans="1:14" x14ac:dyDescent="0.3">
      <c r="A1816" s="36" t="s">
        <v>37</v>
      </c>
      <c r="B1816" s="13">
        <v>117</v>
      </c>
      <c r="C1816" s="48" t="str">
        <f t="shared" si="71"/>
        <v>P.L. 117-103</v>
      </c>
      <c r="D1816" s="3" t="s">
        <v>3294</v>
      </c>
      <c r="E1816" s="3" t="s">
        <v>3351</v>
      </c>
      <c r="F1816" s="3" t="s">
        <v>3352</v>
      </c>
      <c r="G1816" s="48" t="str">
        <f>HYPERLINK("https://uscode.house.gov/view.xhtml?req=granuleid:USC-prelim-title34-section20131&amp;num=0&amp;edition=prelim", "34 U.S.C. 20131(9)")</f>
        <v>34 U.S.C. 20131(9)</v>
      </c>
      <c r="H1816" s="46">
        <v>46660</v>
      </c>
      <c r="I1816" s="13">
        <v>2027</v>
      </c>
      <c r="J1816" s="47">
        <v>5000000</v>
      </c>
      <c r="K1816" s="16" t="s">
        <v>62</v>
      </c>
      <c r="L1816" s="3" t="s">
        <v>60</v>
      </c>
      <c r="M1816" s="3" t="s">
        <v>71</v>
      </c>
      <c r="N1816" s="3" t="s">
        <v>72</v>
      </c>
    </row>
    <row r="1817" spans="1:14" x14ac:dyDescent="0.3">
      <c r="A1817" s="36" t="s">
        <v>37</v>
      </c>
      <c r="B1817" s="13">
        <v>117</v>
      </c>
      <c r="C1817" s="48" t="str">
        <f t="shared" si="71"/>
        <v>P.L. 117-103</v>
      </c>
      <c r="D1817" s="3" t="s">
        <v>3294</v>
      </c>
      <c r="E1817" s="3" t="s">
        <v>3353</v>
      </c>
      <c r="F1817" s="3" t="s">
        <v>3354</v>
      </c>
      <c r="G1817" s="49"/>
      <c r="H1817" s="46">
        <v>46660</v>
      </c>
      <c r="I1817" s="13">
        <v>2027</v>
      </c>
      <c r="J1817" s="47">
        <v>1000000</v>
      </c>
      <c r="K1817" s="16" t="s">
        <v>62</v>
      </c>
      <c r="L1817" s="3" t="s">
        <v>41</v>
      </c>
      <c r="M1817" s="3" t="s">
        <v>42</v>
      </c>
      <c r="N1817" s="3" t="s">
        <v>43</v>
      </c>
    </row>
    <row r="1818" spans="1:14" x14ac:dyDescent="0.3">
      <c r="A1818" s="36" t="s">
        <v>37</v>
      </c>
      <c r="B1818" s="13">
        <v>117</v>
      </c>
      <c r="C1818" s="48" t="str">
        <f t="shared" si="71"/>
        <v>P.L. 117-103</v>
      </c>
      <c r="D1818" s="3" t="s">
        <v>3294</v>
      </c>
      <c r="E1818" s="3" t="s">
        <v>3355</v>
      </c>
      <c r="F1818" s="3" t="s">
        <v>3356</v>
      </c>
      <c r="G1818" s="48" t="str">
        <f>HYPERLINK("https://uscode.house.gov/view.xhtml?req=granuleid:USC-prelim-title34-section20334&amp;num=0&amp;edition=prelim", "34 U.S.C. 20334(a)")</f>
        <v>34 U.S.C. 20334(a)</v>
      </c>
      <c r="H1818" s="46">
        <v>46660</v>
      </c>
      <c r="I1818" s="13">
        <v>2027</v>
      </c>
      <c r="J1818" s="47">
        <v>2300000</v>
      </c>
      <c r="K1818" s="16" t="s">
        <v>62</v>
      </c>
      <c r="L1818" s="3" t="s">
        <v>41</v>
      </c>
      <c r="M1818" s="3" t="s">
        <v>42</v>
      </c>
      <c r="N1818" s="3" t="s">
        <v>43</v>
      </c>
    </row>
    <row r="1819" spans="1:14" x14ac:dyDescent="0.3">
      <c r="A1819" s="36" t="s">
        <v>37</v>
      </c>
      <c r="B1819" s="13">
        <v>117</v>
      </c>
      <c r="C1819" s="48" t="str">
        <f t="shared" si="71"/>
        <v>P.L. 117-103</v>
      </c>
      <c r="D1819" s="3" t="s">
        <v>3294</v>
      </c>
      <c r="E1819" s="3" t="s">
        <v>3357</v>
      </c>
      <c r="F1819" s="3" t="s">
        <v>3358</v>
      </c>
      <c r="G1819" s="48" t="str">
        <f>HYPERLINK("https://uscode.house.gov/view.xhtml?req=granuleid:USC-prelim-title34-section12311&amp;num=0&amp;edition=prelim", "34 U.S.C. 12311(c)")</f>
        <v>34 U.S.C. 12311(c)</v>
      </c>
      <c r="H1819" s="46">
        <v>46660</v>
      </c>
      <c r="I1819" s="13">
        <v>2027</v>
      </c>
      <c r="J1819" s="47">
        <v>5000000</v>
      </c>
      <c r="K1819" s="16" t="s">
        <v>62</v>
      </c>
      <c r="L1819" s="3" t="s">
        <v>41</v>
      </c>
      <c r="M1819" s="3" t="s">
        <v>42</v>
      </c>
      <c r="N1819" s="3" t="s">
        <v>43</v>
      </c>
    </row>
    <row r="1820" spans="1:14" x14ac:dyDescent="0.3">
      <c r="A1820" s="36" t="s">
        <v>37</v>
      </c>
      <c r="B1820" s="13">
        <v>117</v>
      </c>
      <c r="C1820" s="48" t="str">
        <f t="shared" si="71"/>
        <v>P.L. 117-103</v>
      </c>
      <c r="D1820" s="3" t="s">
        <v>3294</v>
      </c>
      <c r="E1820" s="3" t="s">
        <v>3359</v>
      </c>
      <c r="F1820" s="3" t="s">
        <v>3360</v>
      </c>
      <c r="G1820" s="48" t="str">
        <f>HYPERLINK("https://uscode.house.gov/view.xhtml?req=granuleid:USC-prelim-title34-section20324&amp;num=0&amp;edition=prelim", "34 U.S.C. 20324(a)")</f>
        <v>34 U.S.C. 20324(a)</v>
      </c>
      <c r="H1820" s="46">
        <v>46660</v>
      </c>
      <c r="I1820" s="13">
        <v>2027</v>
      </c>
      <c r="J1820" s="47">
        <v>12000000</v>
      </c>
      <c r="K1820" s="16" t="s">
        <v>62</v>
      </c>
      <c r="L1820" s="3" t="s">
        <v>41</v>
      </c>
      <c r="M1820" s="3" t="s">
        <v>42</v>
      </c>
      <c r="N1820" s="3" t="s">
        <v>43</v>
      </c>
    </row>
    <row r="1821" spans="1:14" x14ac:dyDescent="0.3">
      <c r="A1821" s="36" t="s">
        <v>37</v>
      </c>
      <c r="B1821" s="13">
        <v>117</v>
      </c>
      <c r="C1821" s="48" t="str">
        <f t="shared" si="71"/>
        <v>P.L. 117-103</v>
      </c>
      <c r="D1821" s="3" t="s">
        <v>3294</v>
      </c>
      <c r="E1821" s="3" t="s">
        <v>3361</v>
      </c>
      <c r="F1821" s="3" t="s">
        <v>3362</v>
      </c>
      <c r="G1821" s="48" t="str">
        <f>HYPERLINK("https://uscode.house.gov/view.xhtml?req=granuleid:USC-prelim-title34-section40723&amp;num=0&amp;edition=prelim", "34 U.S.C. 40723(e)")</f>
        <v>34 U.S.C. 40723(e)</v>
      </c>
      <c r="H1821" s="46">
        <v>46660</v>
      </c>
      <c r="I1821" s="13">
        <v>2027</v>
      </c>
      <c r="J1821" s="47">
        <v>30000000</v>
      </c>
      <c r="K1821" s="16" t="s">
        <v>62</v>
      </c>
      <c r="L1821" s="3" t="s">
        <v>41</v>
      </c>
      <c r="M1821" s="3" t="s">
        <v>42</v>
      </c>
      <c r="N1821" s="3" t="s">
        <v>43</v>
      </c>
    </row>
    <row r="1822" spans="1:14" x14ac:dyDescent="0.3">
      <c r="A1822" s="36" t="s">
        <v>37</v>
      </c>
      <c r="B1822" s="13">
        <v>117</v>
      </c>
      <c r="C1822" s="48" t="str">
        <f t="shared" si="71"/>
        <v>P.L. 117-103</v>
      </c>
      <c r="D1822" s="3" t="s">
        <v>3294</v>
      </c>
      <c r="E1822" s="3" t="s">
        <v>3363</v>
      </c>
      <c r="F1822" s="3" t="s">
        <v>3364</v>
      </c>
      <c r="G1822" s="49"/>
      <c r="H1822" s="46">
        <v>46660</v>
      </c>
      <c r="I1822" s="13">
        <v>2027</v>
      </c>
      <c r="J1822" s="47">
        <v>10000000</v>
      </c>
      <c r="K1822" s="16" t="s">
        <v>62</v>
      </c>
      <c r="L1822" s="3" t="s">
        <v>41</v>
      </c>
      <c r="M1822" s="3" t="s">
        <v>42</v>
      </c>
      <c r="N1822" s="3" t="s">
        <v>43</v>
      </c>
    </row>
    <row r="1823" spans="1:14" x14ac:dyDescent="0.3">
      <c r="A1823" s="36" t="s">
        <v>37</v>
      </c>
      <c r="B1823" s="13">
        <v>117</v>
      </c>
      <c r="C1823" s="48" t="str">
        <f t="shared" si="71"/>
        <v>P.L. 117-103</v>
      </c>
      <c r="D1823" s="3" t="s">
        <v>3294</v>
      </c>
      <c r="E1823" s="3" t="s">
        <v>3365</v>
      </c>
      <c r="F1823" s="3" t="s">
        <v>3366</v>
      </c>
      <c r="G1823" s="49"/>
      <c r="H1823" s="46">
        <v>46660</v>
      </c>
      <c r="I1823" s="13">
        <v>2027</v>
      </c>
      <c r="J1823" s="47">
        <v>4000000</v>
      </c>
      <c r="K1823" s="16" t="s">
        <v>62</v>
      </c>
      <c r="L1823" s="3" t="s">
        <v>41</v>
      </c>
      <c r="M1823" s="3" t="s">
        <v>42</v>
      </c>
      <c r="N1823" s="3" t="s">
        <v>43</v>
      </c>
    </row>
    <row r="1824" spans="1:14" x14ac:dyDescent="0.3">
      <c r="A1824" s="36" t="s">
        <v>37</v>
      </c>
      <c r="B1824" s="13">
        <v>117</v>
      </c>
      <c r="C1824" s="48" t="str">
        <f t="shared" si="71"/>
        <v>P.L. 117-103</v>
      </c>
      <c r="D1824" s="3" t="s">
        <v>3294</v>
      </c>
      <c r="E1824" s="3" t="s">
        <v>3367</v>
      </c>
      <c r="F1824" s="3" t="s">
        <v>3368</v>
      </c>
      <c r="G1824" s="48" t="str">
        <f>HYPERLINK("https://uscode.house.gov/view.xhtml?req=granuleid:USC-prelim-title34-section10446&amp;num=0&amp;edition=prelim", "34 U.S.C. 10446(k)(8)")</f>
        <v>34 U.S.C. 10446(k)(8)</v>
      </c>
      <c r="H1824" s="46">
        <v>46660</v>
      </c>
      <c r="I1824" s="13">
        <v>2027</v>
      </c>
      <c r="J1824" s="47">
        <v>5000000</v>
      </c>
      <c r="K1824" s="16" t="s">
        <v>62</v>
      </c>
      <c r="L1824" s="3" t="s">
        <v>41</v>
      </c>
      <c r="M1824" s="3" t="s">
        <v>42</v>
      </c>
      <c r="N1824" s="3" t="s">
        <v>43</v>
      </c>
    </row>
    <row r="1825" spans="1:14" x14ac:dyDescent="0.3">
      <c r="A1825" s="36" t="s">
        <v>37</v>
      </c>
      <c r="B1825" s="13">
        <v>117</v>
      </c>
      <c r="C1825" s="48" t="str">
        <f t="shared" si="71"/>
        <v>P.L. 117-103</v>
      </c>
      <c r="D1825" s="3" t="s">
        <v>3294</v>
      </c>
      <c r="E1825" s="3" t="s">
        <v>3369</v>
      </c>
      <c r="F1825" s="3" t="s">
        <v>3370</v>
      </c>
      <c r="G1825" s="49"/>
      <c r="H1825" s="46">
        <v>46660</v>
      </c>
      <c r="I1825" s="13">
        <v>2027</v>
      </c>
      <c r="J1825" s="47">
        <v>10000000</v>
      </c>
      <c r="K1825" s="16" t="s">
        <v>62</v>
      </c>
      <c r="L1825" s="3" t="s">
        <v>41</v>
      </c>
      <c r="M1825" s="3" t="s">
        <v>42</v>
      </c>
      <c r="N1825" s="3" t="s">
        <v>43</v>
      </c>
    </row>
    <row r="1826" spans="1:14" x14ac:dyDescent="0.3">
      <c r="A1826" s="36" t="s">
        <v>37</v>
      </c>
      <c r="B1826" s="13">
        <v>117</v>
      </c>
      <c r="C1826" s="48" t="str">
        <f t="shared" si="71"/>
        <v>P.L. 117-103</v>
      </c>
      <c r="D1826" s="3" t="s">
        <v>3294</v>
      </c>
      <c r="E1826" s="3" t="s">
        <v>3371</v>
      </c>
      <c r="F1826" s="3" t="s">
        <v>3372</v>
      </c>
      <c r="G1826" s="48" t="str">
        <f>HYPERLINK("https://uscode.house.gov/view.xhtml?req=granuleid:USC-prelim-title34-section12501&amp;num=0&amp;edition=prelim", "34 U.S.C. 12501")</f>
        <v>34 U.S.C. 12501</v>
      </c>
      <c r="H1826" s="46">
        <v>46660</v>
      </c>
      <c r="I1826" s="13">
        <v>2027</v>
      </c>
      <c r="J1826" s="47">
        <v>2000000</v>
      </c>
      <c r="K1826" s="16" t="s">
        <v>62</v>
      </c>
      <c r="L1826" s="3" t="s">
        <v>41</v>
      </c>
      <c r="M1826" s="3" t="s">
        <v>42</v>
      </c>
      <c r="N1826" s="3" t="s">
        <v>43</v>
      </c>
    </row>
    <row r="1827" spans="1:14" x14ac:dyDescent="0.3">
      <c r="A1827" s="36" t="s">
        <v>37</v>
      </c>
      <c r="B1827" s="13">
        <v>117</v>
      </c>
      <c r="C1827" s="48" t="str">
        <f t="shared" si="71"/>
        <v>P.L. 117-103</v>
      </c>
      <c r="D1827" s="3" t="s">
        <v>3294</v>
      </c>
      <c r="E1827" s="3" t="s">
        <v>3373</v>
      </c>
      <c r="F1827" s="3" t="s">
        <v>3374</v>
      </c>
      <c r="G1827" s="48" t="str">
        <f>HYPERLINK("https://uscode.house.gov/view.xhtml?req=granuleid:USC-prelim-title34-section12475&amp;num=0&amp;edition=prelim", "34 U.S.C. 12475(g)")</f>
        <v>34 U.S.C. 12475(g)</v>
      </c>
      <c r="H1827" s="46">
        <v>46660</v>
      </c>
      <c r="I1827" s="13">
        <v>2027</v>
      </c>
      <c r="J1827" s="47">
        <v>4000000</v>
      </c>
      <c r="K1827" s="16" t="s">
        <v>62</v>
      </c>
      <c r="L1827" s="3" t="s">
        <v>41</v>
      </c>
      <c r="M1827" s="3" t="s">
        <v>42</v>
      </c>
      <c r="N1827" s="3" t="s">
        <v>43</v>
      </c>
    </row>
    <row r="1828" spans="1:14" x14ac:dyDescent="0.3">
      <c r="A1828" s="36" t="s">
        <v>37</v>
      </c>
      <c r="B1828" s="13">
        <v>117</v>
      </c>
      <c r="C1828" s="48" t="str">
        <f t="shared" si="71"/>
        <v>P.L. 117-103</v>
      </c>
      <c r="D1828" s="3" t="s">
        <v>3294</v>
      </c>
      <c r="E1828" s="3" t="s">
        <v>3375</v>
      </c>
      <c r="F1828" s="3" t="s">
        <v>3376</v>
      </c>
      <c r="G1828" s="48" t="str">
        <f>HYPERLINK("https://uscode.house.gov/view.xhtml?req=granuleid:USC-prelim-title34-section12451&amp;num=0&amp;edition=prelim", "34 U.S.C. 12451(f)")</f>
        <v>34 U.S.C. 12451(f)</v>
      </c>
      <c r="H1828" s="46">
        <v>46660</v>
      </c>
      <c r="I1828" s="13">
        <v>2027</v>
      </c>
      <c r="J1828" s="47">
        <v>30000000</v>
      </c>
      <c r="K1828" s="16" t="s">
        <v>62</v>
      </c>
      <c r="L1828" s="3" t="s">
        <v>41</v>
      </c>
      <c r="M1828" s="3" t="s">
        <v>42</v>
      </c>
      <c r="N1828" s="3" t="s">
        <v>43</v>
      </c>
    </row>
    <row r="1829" spans="1:14" x14ac:dyDescent="0.3">
      <c r="A1829" s="36" t="s">
        <v>37</v>
      </c>
      <c r="B1829" s="13">
        <v>117</v>
      </c>
      <c r="C1829" s="48" t="str">
        <f t="shared" si="71"/>
        <v>P.L. 117-103</v>
      </c>
      <c r="D1829" s="3" t="s">
        <v>3294</v>
      </c>
      <c r="E1829" s="3" t="s">
        <v>3377</v>
      </c>
      <c r="F1829" s="3" t="s">
        <v>3378</v>
      </c>
      <c r="G1829" s="48" t="str">
        <f>HYPERLINK("https://uscode.house.gov/view.xhtml?req=granuleid:USC-prelim-title42-section300u-7&amp;num=0&amp;edition=prelim", "42 U.S.C. 300u-7")</f>
        <v>42 U.S.C. 300u-7</v>
      </c>
      <c r="H1829" s="46">
        <v>46660</v>
      </c>
      <c r="I1829" s="13">
        <v>2027</v>
      </c>
      <c r="J1829" s="47">
        <v>8000000</v>
      </c>
      <c r="K1829" s="16" t="s">
        <v>62</v>
      </c>
      <c r="L1829" s="3" t="s">
        <v>60</v>
      </c>
      <c r="M1829" s="3" t="s">
        <v>71</v>
      </c>
      <c r="N1829" s="3" t="s">
        <v>72</v>
      </c>
    </row>
    <row r="1830" spans="1:14" x14ac:dyDescent="0.3">
      <c r="A1830" s="36" t="s">
        <v>37</v>
      </c>
      <c r="B1830" s="13">
        <v>117</v>
      </c>
      <c r="C1830" s="48" t="str">
        <f t="shared" si="71"/>
        <v>P.L. 117-103</v>
      </c>
      <c r="D1830" s="3" t="s">
        <v>3294</v>
      </c>
      <c r="E1830" s="3" t="s">
        <v>3379</v>
      </c>
      <c r="F1830" s="3" t="s">
        <v>3380</v>
      </c>
      <c r="G1830" s="48" t="str">
        <f>HYPERLINK("https://uscode.house.gov/view.xhtml?req=granuleid:USC-prelim-title42-section280b-1b&amp;num=0&amp;edition=prelim", "42 U.S.C. 280b-1b")</f>
        <v>42 U.S.C. 280b-1b</v>
      </c>
      <c r="H1830" s="46">
        <v>46660</v>
      </c>
      <c r="I1830" s="13">
        <v>2027</v>
      </c>
      <c r="J1830" s="47">
        <v>100000000</v>
      </c>
      <c r="K1830" s="16" t="s">
        <v>62</v>
      </c>
      <c r="L1830" s="3" t="s">
        <v>60</v>
      </c>
      <c r="M1830" s="3" t="s">
        <v>71</v>
      </c>
      <c r="N1830" s="3" t="s">
        <v>72</v>
      </c>
    </row>
    <row r="1831" spans="1:14" x14ac:dyDescent="0.3">
      <c r="A1831" s="36" t="s">
        <v>37</v>
      </c>
      <c r="B1831" s="13">
        <v>117</v>
      </c>
      <c r="C1831" s="48" t="str">
        <f>HYPERLINK("https://uscode.house.gov/statutes/pl/117/348.pdf", "P.L. 117-348")</f>
        <v>P.L. 117-348</v>
      </c>
      <c r="D1831" s="3" t="s">
        <v>3888</v>
      </c>
      <c r="E1831" s="3" t="s">
        <v>3892</v>
      </c>
      <c r="F1831" s="3" t="s">
        <v>3893</v>
      </c>
      <c r="G1831" s="48" t="str">
        <f>HYPERLINK("https://uscode.house.gov/view.xhtml?req=granuleid:USC-prelim-title22-section7110&amp;num=0&amp;edition=prelim", "22 U.S.C. 7110(f)")</f>
        <v>22 U.S.C. 7110(f)</v>
      </c>
      <c r="H1831" s="46">
        <v>47026</v>
      </c>
      <c r="I1831" s="13">
        <v>2028</v>
      </c>
      <c r="J1831" s="47">
        <v>5000000</v>
      </c>
      <c r="K1831" s="16" t="s">
        <v>62</v>
      </c>
      <c r="L1831" s="3" t="s">
        <v>130</v>
      </c>
      <c r="M1831" s="3" t="s">
        <v>71</v>
      </c>
      <c r="N1831" s="3" t="s">
        <v>72</v>
      </c>
    </row>
    <row r="1832" spans="1:14" x14ac:dyDescent="0.3">
      <c r="A1832" s="36" t="s">
        <v>37</v>
      </c>
      <c r="B1832" s="13">
        <v>117</v>
      </c>
      <c r="C1832" s="48" t="str">
        <f t="shared" ref="C1832:C1841" si="72">HYPERLINK("https://uscode.house.gov/statutes/pl/117/103.pdf", "P.L. 117-103")</f>
        <v>P.L. 117-103</v>
      </c>
      <c r="D1832" s="3" t="s">
        <v>3294</v>
      </c>
      <c r="E1832" s="3" t="s">
        <v>3383</v>
      </c>
      <c r="F1832" s="3" t="s">
        <v>3384</v>
      </c>
      <c r="G1832" s="48" t="str">
        <f>HYPERLINK("https://uscode.house.gov/view.xhtml?req=granuleid:USC-prelim-title42-section280g-4c&amp;num=0&amp;edition=prelim", "42 U.S.C. 280g-4c(c)")</f>
        <v>42 U.S.C. 280g-4c(c)</v>
      </c>
      <c r="H1832" s="46">
        <v>46660</v>
      </c>
      <c r="I1832" s="13">
        <v>2027</v>
      </c>
      <c r="J1832" s="47">
        <v>2000000</v>
      </c>
      <c r="K1832" s="16" t="s">
        <v>62</v>
      </c>
      <c r="L1832" s="3" t="s">
        <v>60</v>
      </c>
      <c r="M1832" s="3" t="s">
        <v>71</v>
      </c>
      <c r="N1832" s="3" t="s">
        <v>72</v>
      </c>
    </row>
    <row r="1833" spans="1:14" x14ac:dyDescent="0.3">
      <c r="A1833" s="36" t="s">
        <v>37</v>
      </c>
      <c r="B1833" s="13">
        <v>117</v>
      </c>
      <c r="C1833" s="48" t="str">
        <f t="shared" si="72"/>
        <v>P.L. 117-103</v>
      </c>
      <c r="D1833" s="3" t="s">
        <v>3294</v>
      </c>
      <c r="E1833" s="3" t="s">
        <v>3385</v>
      </c>
      <c r="F1833" s="3" t="s">
        <v>3386</v>
      </c>
      <c r="G1833" s="48" t="str">
        <f>HYPERLINK("https://uscode.house.gov/view.xhtml?req=granuleid:USC-prelim-title34-section12493&amp;num=0&amp;edition=prelim", "34 U.S.C. 12493(c)")</f>
        <v>34 U.S.C. 12493(c)</v>
      </c>
      <c r="H1833" s="46">
        <v>46660</v>
      </c>
      <c r="I1833" s="13">
        <v>2027</v>
      </c>
      <c r="J1833" s="16" t="s">
        <v>12</v>
      </c>
      <c r="K1833" s="16" t="s">
        <v>62</v>
      </c>
      <c r="L1833" s="3" t="s">
        <v>60</v>
      </c>
      <c r="M1833" s="3" t="s">
        <v>157</v>
      </c>
      <c r="N1833" s="3" t="s">
        <v>158</v>
      </c>
    </row>
    <row r="1834" spans="1:14" x14ac:dyDescent="0.3">
      <c r="A1834" s="36" t="s">
        <v>37</v>
      </c>
      <c r="B1834" s="13">
        <v>117</v>
      </c>
      <c r="C1834" s="48" t="str">
        <f t="shared" si="72"/>
        <v>P.L. 117-103</v>
      </c>
      <c r="D1834" s="3" t="s">
        <v>3294</v>
      </c>
      <c r="E1834" s="3" t="s">
        <v>3387</v>
      </c>
      <c r="F1834" s="3" t="s">
        <v>3388</v>
      </c>
      <c r="G1834" s="49"/>
      <c r="H1834" s="46">
        <v>46660</v>
      </c>
      <c r="I1834" s="13">
        <v>2027</v>
      </c>
      <c r="J1834" s="47">
        <v>35000000</v>
      </c>
      <c r="K1834" s="16" t="s">
        <v>62</v>
      </c>
      <c r="L1834" s="3" t="s">
        <v>60</v>
      </c>
      <c r="M1834" s="3" t="s">
        <v>157</v>
      </c>
      <c r="N1834" s="3" t="s">
        <v>158</v>
      </c>
    </row>
    <row r="1835" spans="1:14" x14ac:dyDescent="0.3">
      <c r="A1835" s="36" t="s">
        <v>37</v>
      </c>
      <c r="B1835" s="13">
        <v>117</v>
      </c>
      <c r="C1835" s="48" t="str">
        <f t="shared" si="72"/>
        <v>P.L. 117-103</v>
      </c>
      <c r="D1835" s="3" t="s">
        <v>3294</v>
      </c>
      <c r="E1835" s="3" t="s">
        <v>3389</v>
      </c>
      <c r="F1835" s="3" t="s">
        <v>3390</v>
      </c>
      <c r="G1835" s="49"/>
      <c r="H1835" s="46">
        <v>46660</v>
      </c>
      <c r="I1835" s="13">
        <v>2027</v>
      </c>
      <c r="J1835" s="16" t="s">
        <v>12</v>
      </c>
      <c r="K1835" s="16" t="s">
        <v>62</v>
      </c>
      <c r="L1835" s="3" t="s">
        <v>60</v>
      </c>
      <c r="M1835" s="3" t="s">
        <v>157</v>
      </c>
      <c r="N1835" s="3" t="s">
        <v>158</v>
      </c>
    </row>
    <row r="1836" spans="1:14" x14ac:dyDescent="0.3">
      <c r="A1836" s="36" t="s">
        <v>37</v>
      </c>
      <c r="B1836" s="13">
        <v>117</v>
      </c>
      <c r="C1836" s="48" t="str">
        <f t="shared" si="72"/>
        <v>P.L. 117-103</v>
      </c>
      <c r="D1836" s="3" t="s">
        <v>3294</v>
      </c>
      <c r="E1836" s="3" t="s">
        <v>3391</v>
      </c>
      <c r="F1836" s="3" t="s">
        <v>3392</v>
      </c>
      <c r="G1836" s="48" t="str">
        <f>HYPERLINK("https://uscode.house.gov/view.xhtml?req=granuleid:USC-prelim-title38-section3001&amp;num=0&amp;edition=prelim", "38 U.S.C. 3001(note)")</f>
        <v>38 U.S.C. 3001(note)</v>
      </c>
      <c r="H1836" s="46">
        <v>45565</v>
      </c>
      <c r="I1836" s="13">
        <v>2024</v>
      </c>
      <c r="J1836" s="47">
        <v>45000000</v>
      </c>
      <c r="K1836" s="16" t="s">
        <v>62</v>
      </c>
      <c r="L1836" s="3" t="s">
        <v>292</v>
      </c>
      <c r="M1836" s="3" t="s">
        <v>266</v>
      </c>
      <c r="N1836" s="3" t="s">
        <v>267</v>
      </c>
    </row>
    <row r="1837" spans="1:14" x14ac:dyDescent="0.3">
      <c r="A1837" s="36" t="s">
        <v>37</v>
      </c>
      <c r="B1837" s="13">
        <v>117</v>
      </c>
      <c r="C1837" s="48" t="str">
        <f t="shared" si="72"/>
        <v>P.L. 117-103</v>
      </c>
      <c r="D1837" s="3" t="s">
        <v>3294</v>
      </c>
      <c r="E1837" s="3" t="s">
        <v>3393</v>
      </c>
      <c r="F1837" s="3" t="s">
        <v>3394</v>
      </c>
      <c r="G1837" s="48" t="str">
        <f>HYPERLINK("https://uscode.house.gov/view.xhtml?req=granuleid:USC-prelim-title54-section320101&amp;num=0&amp;edition=prelim", "54 U.S.C. 320101(note)")</f>
        <v>54 U.S.C. 320101(note)</v>
      </c>
      <c r="H1837" s="46">
        <v>45199</v>
      </c>
      <c r="I1837" s="13">
        <v>2023</v>
      </c>
      <c r="J1837" s="47">
        <v>1000000</v>
      </c>
      <c r="K1837" s="16" t="s">
        <v>62</v>
      </c>
      <c r="L1837" s="3" t="s">
        <v>47</v>
      </c>
      <c r="M1837" s="3" t="s">
        <v>48</v>
      </c>
      <c r="N1837" s="3" t="s">
        <v>49</v>
      </c>
    </row>
    <row r="1838" spans="1:14" x14ac:dyDescent="0.3">
      <c r="A1838" s="36" t="s">
        <v>37</v>
      </c>
      <c r="B1838" s="13">
        <v>117</v>
      </c>
      <c r="C1838" s="48" t="str">
        <f t="shared" si="72"/>
        <v>P.L. 117-103</v>
      </c>
      <c r="D1838" s="3" t="s">
        <v>3294</v>
      </c>
      <c r="E1838" s="3" t="s">
        <v>3395</v>
      </c>
      <c r="F1838" s="3" t="s">
        <v>3396</v>
      </c>
      <c r="G1838" s="48" t="str">
        <f>HYPERLINK("https://uscode.house.gov/view.xhtml?req=granuleid:USC-prelim-title42-section280h-5&amp;num=0&amp;edition=prelim", "42 U.S.C. 280h-5(l)")</f>
        <v>42 U.S.C. 280h-5(l)</v>
      </c>
      <c r="H1838" s="46">
        <v>46295</v>
      </c>
      <c r="I1838" s="13">
        <v>2026</v>
      </c>
      <c r="J1838" s="16" t="s">
        <v>12</v>
      </c>
      <c r="K1838" s="16" t="s">
        <v>62</v>
      </c>
      <c r="L1838" s="3" t="s">
        <v>60</v>
      </c>
      <c r="M1838" s="3" t="s">
        <v>71</v>
      </c>
      <c r="N1838" s="3" t="s">
        <v>72</v>
      </c>
    </row>
    <row r="1839" spans="1:14" x14ac:dyDescent="0.3">
      <c r="A1839" s="36" t="s">
        <v>37</v>
      </c>
      <c r="B1839" s="13">
        <v>117</v>
      </c>
      <c r="C1839" s="48" t="str">
        <f t="shared" si="72"/>
        <v>P.L. 117-103</v>
      </c>
      <c r="D1839" s="3" t="s">
        <v>3294</v>
      </c>
      <c r="E1839" s="3" t="s">
        <v>869</v>
      </c>
      <c r="F1839" s="3" t="s">
        <v>3397</v>
      </c>
      <c r="G1839" s="48" t="str">
        <f>HYPERLINK("https://uscode.house.gov/view.xhtml?req=granuleid:USC-prelim-title42-section17204&amp;num=0&amp;edition=prelim", "42 U.S.C. 17204")</f>
        <v>42 U.S.C. 17204</v>
      </c>
      <c r="H1839" s="46">
        <v>45930</v>
      </c>
      <c r="I1839" s="13">
        <v>2025</v>
      </c>
      <c r="J1839" s="47">
        <v>5000000</v>
      </c>
      <c r="K1839" s="16" t="s">
        <v>62</v>
      </c>
      <c r="L1839" s="3" t="s">
        <v>60</v>
      </c>
      <c r="M1839" s="3" t="s">
        <v>48</v>
      </c>
      <c r="N1839" s="3" t="s">
        <v>58</v>
      </c>
    </row>
    <row r="1840" spans="1:14" x14ac:dyDescent="0.3">
      <c r="A1840" s="36" t="s">
        <v>37</v>
      </c>
      <c r="B1840" s="13">
        <v>117</v>
      </c>
      <c r="C1840" s="48" t="str">
        <f t="shared" si="72"/>
        <v>P.L. 117-103</v>
      </c>
      <c r="D1840" s="3" t="s">
        <v>3294</v>
      </c>
      <c r="E1840" s="3" t="s">
        <v>3398</v>
      </c>
      <c r="F1840" s="3" t="s">
        <v>3399</v>
      </c>
      <c r="G1840" s="48" t="str">
        <f>HYPERLINK("https://uscode.house.gov/view.xhtml?req=granuleid:USC-prelim-title25-section1304&amp;num=0&amp;edition=prelim", "25 U.S.C. 1304(j)(1)")</f>
        <v>25 U.S.C. 1304(j)(1)</v>
      </c>
      <c r="H1840" s="46">
        <v>46660</v>
      </c>
      <c r="I1840" s="13">
        <v>2027</v>
      </c>
      <c r="J1840" s="47">
        <v>25000000</v>
      </c>
      <c r="K1840" s="16" t="s">
        <v>62</v>
      </c>
      <c r="L1840" s="3" t="s">
        <v>41</v>
      </c>
      <c r="M1840" s="3" t="s">
        <v>42</v>
      </c>
      <c r="N1840" s="3" t="s">
        <v>43</v>
      </c>
    </row>
    <row r="1841" spans="1:14" x14ac:dyDescent="0.3">
      <c r="A1841" s="36" t="s">
        <v>37</v>
      </c>
      <c r="B1841" s="13">
        <v>117</v>
      </c>
      <c r="C1841" s="48" t="str">
        <f t="shared" si="72"/>
        <v>P.L. 117-103</v>
      </c>
      <c r="D1841" s="3" t="s">
        <v>3294</v>
      </c>
      <c r="E1841" s="3" t="s">
        <v>3400</v>
      </c>
      <c r="F1841" s="3" t="s">
        <v>3401</v>
      </c>
      <c r="G1841" s="49"/>
      <c r="H1841" s="46">
        <v>46660</v>
      </c>
      <c r="I1841" s="13">
        <v>2027</v>
      </c>
      <c r="J1841" s="16" t="s">
        <v>12</v>
      </c>
      <c r="K1841" s="16" t="s">
        <v>62</v>
      </c>
      <c r="L1841" s="3" t="s">
        <v>41</v>
      </c>
      <c r="M1841" s="3" t="s">
        <v>42</v>
      </c>
      <c r="N1841" s="3" t="s">
        <v>43</v>
      </c>
    </row>
    <row r="1842" spans="1:14" x14ac:dyDescent="0.3">
      <c r="A1842" s="36" t="s">
        <v>37</v>
      </c>
      <c r="B1842" s="13">
        <v>117</v>
      </c>
      <c r="C1842" s="48" t="str">
        <f>HYPERLINK("https://uscode.house.gov/statutes/pl/117/105.pdf", "P.L. 117-105")</f>
        <v>P.L. 117-105</v>
      </c>
      <c r="D1842" s="3" t="s">
        <v>3402</v>
      </c>
      <c r="E1842" s="3" t="s">
        <v>3403</v>
      </c>
      <c r="F1842" s="3" t="s">
        <v>3404</v>
      </c>
      <c r="G1842" s="48" t="str">
        <f>HYPERLINK("https://uscode.house.gov/view.xhtml?req=granuleid:USC-prelim-title42-section294s&amp;num=0&amp;edition=prelim", "42 U.S.C. 294s(note)")</f>
        <v>42 U.S.C. 294s(note)</v>
      </c>
      <c r="H1842" s="46">
        <v>45565</v>
      </c>
      <c r="I1842" s="13">
        <v>2024</v>
      </c>
      <c r="J1842" s="47">
        <v>10000000</v>
      </c>
      <c r="K1842" s="16" t="s">
        <v>62</v>
      </c>
      <c r="L1842" s="3" t="s">
        <v>60</v>
      </c>
      <c r="M1842" s="3" t="s">
        <v>71</v>
      </c>
      <c r="N1842" s="3" t="s">
        <v>72</v>
      </c>
    </row>
    <row r="1843" spans="1:14" x14ac:dyDescent="0.3">
      <c r="A1843" s="36" t="s">
        <v>37</v>
      </c>
      <c r="B1843" s="13">
        <v>117</v>
      </c>
      <c r="C1843" s="48" t="str">
        <f>HYPERLINK("https://uscode.house.gov/statutes/pl/117/105.pdf", "P.L. 117-105")</f>
        <v>P.L. 117-105</v>
      </c>
      <c r="D1843" s="3" t="s">
        <v>3402</v>
      </c>
      <c r="E1843" s="3" t="s">
        <v>45</v>
      </c>
      <c r="F1843" s="3" t="s">
        <v>3405</v>
      </c>
      <c r="G1843" s="48" t="str">
        <f>HYPERLINK("https://uscode.house.gov/view.xhtml?req=granuleid:USC-prelim-title42-section294s&amp;num=0&amp;edition=prelim", "42 U.S.C. 294s")</f>
        <v>42 U.S.C. 294s</v>
      </c>
      <c r="H1843" s="46">
        <v>45199</v>
      </c>
      <c r="I1843" s="13">
        <v>2023</v>
      </c>
      <c r="J1843" s="47">
        <v>35000000</v>
      </c>
      <c r="K1843" s="16" t="s">
        <v>62</v>
      </c>
      <c r="L1843" s="3" t="s">
        <v>60</v>
      </c>
      <c r="M1843" s="3" t="s">
        <v>71</v>
      </c>
      <c r="N1843" s="3" t="s">
        <v>72</v>
      </c>
    </row>
    <row r="1844" spans="1:14" x14ac:dyDescent="0.3">
      <c r="A1844" s="36" t="s">
        <v>37</v>
      </c>
      <c r="B1844" s="13">
        <v>117</v>
      </c>
      <c r="C1844" s="48" t="str">
        <f>HYPERLINK("https://uscode.house.gov/statutes/pl/117/114.pdf", "P.L. 117-114")</f>
        <v>P.L. 117-114</v>
      </c>
      <c r="D1844" s="3" t="s">
        <v>3406</v>
      </c>
      <c r="E1844" s="3" t="s">
        <v>3407</v>
      </c>
      <c r="F1844" s="3" t="s">
        <v>3408</v>
      </c>
      <c r="G1844" s="48" t="str">
        <f>HYPERLINK("https://uscode.house.gov/view.xhtml?req=granuleid:USC-prelim-title16-section6857&amp;num=0&amp;edition=prelim", "16 U.S.C. 6857")</f>
        <v>16 U.S.C. 6857</v>
      </c>
      <c r="H1844" s="46">
        <v>45930</v>
      </c>
      <c r="I1844" s="13">
        <v>2025</v>
      </c>
      <c r="J1844" s="47">
        <v>5500000</v>
      </c>
      <c r="K1844" s="16" t="s">
        <v>62</v>
      </c>
      <c r="L1844" s="3" t="s">
        <v>47</v>
      </c>
      <c r="M1844" s="3" t="s">
        <v>48</v>
      </c>
      <c r="N1844" s="3" t="s">
        <v>49</v>
      </c>
    </row>
    <row r="1845" spans="1:14" x14ac:dyDescent="0.3">
      <c r="A1845" s="36" t="s">
        <v>37</v>
      </c>
      <c r="B1845" s="13">
        <v>117</v>
      </c>
      <c r="C1845" s="48" t="str">
        <f>HYPERLINK("https://uscode.house.gov/statutes/pl/117/114.pdf", "P.L. 117-114")</f>
        <v>P.L. 117-114</v>
      </c>
      <c r="D1845" s="3" t="s">
        <v>3406</v>
      </c>
      <c r="E1845" s="3" t="s">
        <v>3409</v>
      </c>
      <c r="F1845" s="3" t="s">
        <v>3410</v>
      </c>
      <c r="G1845" s="48" t="str">
        <f>HYPERLINK("https://uscode.house.gov/view.xhtml?req=granuleid:USC-prelim-title16-section6857&amp;num=0&amp;edition=prelim", "16 U.S.C. 6857")</f>
        <v>16 U.S.C. 6857</v>
      </c>
      <c r="H1845" s="46">
        <v>45930</v>
      </c>
      <c r="I1845" s="13">
        <v>2025</v>
      </c>
      <c r="J1845" s="47">
        <v>5500000</v>
      </c>
      <c r="K1845" s="16" t="s">
        <v>62</v>
      </c>
      <c r="L1845" s="3" t="s">
        <v>47</v>
      </c>
      <c r="M1845" s="3" t="s">
        <v>48</v>
      </c>
      <c r="N1845" s="3" t="s">
        <v>49</v>
      </c>
    </row>
    <row r="1846" spans="1:14" x14ac:dyDescent="0.3">
      <c r="A1846" s="36" t="s">
        <v>37</v>
      </c>
      <c r="B1846" s="13">
        <v>117</v>
      </c>
      <c r="C1846" s="48" t="str">
        <f>HYPERLINK("https://uscode.house.gov/statutes/pl/117/114.pdf", "P.L. 117-114")</f>
        <v>P.L. 117-114</v>
      </c>
      <c r="D1846" s="3" t="s">
        <v>3406</v>
      </c>
      <c r="E1846" s="3" t="s">
        <v>3411</v>
      </c>
      <c r="F1846" s="3" t="s">
        <v>3412</v>
      </c>
      <c r="G1846" s="48" t="str">
        <f>HYPERLINK("https://uscode.house.gov/view.xhtml?req=granuleid:USC-prelim-title16-section6857&amp;num=0&amp;edition=prelim", "16 U.S.C. 6857")</f>
        <v>16 U.S.C. 6857</v>
      </c>
      <c r="H1846" s="46">
        <v>45930</v>
      </c>
      <c r="I1846" s="13">
        <v>2025</v>
      </c>
      <c r="J1846" s="47">
        <v>5500000</v>
      </c>
      <c r="K1846" s="16" t="s">
        <v>62</v>
      </c>
      <c r="L1846" s="3" t="s">
        <v>47</v>
      </c>
      <c r="M1846" s="3" t="s">
        <v>67</v>
      </c>
      <c r="N1846" s="3" t="s">
        <v>58</v>
      </c>
    </row>
    <row r="1847" spans="1:14" x14ac:dyDescent="0.3">
      <c r="A1847" s="36" t="s">
        <v>37</v>
      </c>
      <c r="B1847" s="13">
        <v>117</v>
      </c>
      <c r="C1847" s="48" t="str">
        <f>HYPERLINK("https://uscode.house.gov/statutes/pl/117/146.pdf", "P.L. 117-146")</f>
        <v>P.L. 117-146</v>
      </c>
      <c r="D1847" s="3" t="s">
        <v>3413</v>
      </c>
      <c r="E1847" s="3" t="s">
        <v>3414</v>
      </c>
      <c r="F1847" s="3" t="s">
        <v>2979</v>
      </c>
      <c r="G1847" s="48" t="str">
        <f>HYPERLINK("https://uscode.house.gov/view.xhtml?req=granuleid:USC-prelim-title46-section46108&amp;num=0&amp;edition=prelim", "46 U.S.C. 46108")</f>
        <v>46 U.S.C. 46108</v>
      </c>
      <c r="H1847" s="46">
        <v>45930</v>
      </c>
      <c r="I1847" s="13">
        <v>2025</v>
      </c>
      <c r="J1847" s="47">
        <v>49200000</v>
      </c>
      <c r="K1847" s="16" t="s">
        <v>62</v>
      </c>
      <c r="L1847" s="3" t="s">
        <v>109</v>
      </c>
      <c r="M1847" s="3" t="s">
        <v>148</v>
      </c>
      <c r="N1847" s="3" t="s">
        <v>158</v>
      </c>
    </row>
    <row r="1848" spans="1:14" x14ac:dyDescent="0.3">
      <c r="A1848" s="36" t="s">
        <v>37</v>
      </c>
      <c r="B1848" s="13">
        <v>117</v>
      </c>
      <c r="C1848" s="48" t="str">
        <f>HYPERLINK("https://uscode.house.gov/statutes/pl/117/159.pdf", "P.L. 117-159")</f>
        <v>P.L. 117-159</v>
      </c>
      <c r="D1848" s="3" t="s">
        <v>3415</v>
      </c>
      <c r="E1848" s="3" t="s">
        <v>3416</v>
      </c>
      <c r="F1848" s="3" t="s">
        <v>3417</v>
      </c>
      <c r="G1848" s="48" t="str">
        <f>HYPERLINK("https://uscode.house.gov/view.xhtml?req=granuleid:USC-prelim-title42-section1396a&amp;num=0&amp;edition=prelim", "42 U.S.C. 1396a(note)")</f>
        <v>42 U.S.C. 1396a(note)</v>
      </c>
      <c r="H1848" s="46">
        <v>44834</v>
      </c>
      <c r="I1848" s="13">
        <v>2022</v>
      </c>
      <c r="J1848" s="47">
        <v>50000000</v>
      </c>
      <c r="K1848" s="47">
        <v>55000000</v>
      </c>
      <c r="L1848" s="3" t="s">
        <v>292</v>
      </c>
      <c r="M1848" s="3" t="s">
        <v>418</v>
      </c>
      <c r="N1848" s="3" t="s">
        <v>72</v>
      </c>
    </row>
    <row r="1849" spans="1:14" x14ac:dyDescent="0.3">
      <c r="A1849" s="36" t="s">
        <v>37</v>
      </c>
      <c r="B1849" s="13">
        <v>117</v>
      </c>
      <c r="C1849" s="48" t="str">
        <f>HYPERLINK("https://uscode.house.gov/statutes/pl/117/159.pdf", "P.L. 117-159")</f>
        <v>P.L. 117-159</v>
      </c>
      <c r="D1849" s="3" t="s">
        <v>3415</v>
      </c>
      <c r="E1849" s="3" t="s">
        <v>3418</v>
      </c>
      <c r="F1849" s="3" t="s">
        <v>3419</v>
      </c>
      <c r="G1849" s="48" t="str">
        <f>HYPERLINK("https://uscode.house.gov/view.xhtml?req=granuleid:USC-prelim-title42-section254c-19&amp;num=0&amp;edition=prelim", "42 U.S.C. 254c-19(h)")</f>
        <v>42 U.S.C. 254c-19(h)</v>
      </c>
      <c r="H1849" s="46">
        <v>46660</v>
      </c>
      <c r="I1849" s="13">
        <v>2027</v>
      </c>
      <c r="J1849" s="47">
        <v>31000000</v>
      </c>
      <c r="K1849" s="16" t="s">
        <v>62</v>
      </c>
      <c r="L1849" s="3" t="s">
        <v>60</v>
      </c>
      <c r="M1849" s="3" t="s">
        <v>71</v>
      </c>
      <c r="N1849" s="3" t="s">
        <v>72</v>
      </c>
    </row>
    <row r="1850" spans="1:14" x14ac:dyDescent="0.3">
      <c r="A1850" s="36" t="s">
        <v>37</v>
      </c>
      <c r="B1850" s="13">
        <v>117</v>
      </c>
      <c r="C1850" s="48" t="str">
        <f>HYPERLINK("https://uscode.house.gov/statutes/pl/117/159.pdf", "P.L. 117-159")</f>
        <v>P.L. 117-159</v>
      </c>
      <c r="D1850" s="3" t="s">
        <v>3415</v>
      </c>
      <c r="E1850" s="3" t="s">
        <v>3420</v>
      </c>
      <c r="F1850" s="3" t="s">
        <v>3421</v>
      </c>
      <c r="G1850" s="49"/>
      <c r="H1850" s="46">
        <v>46660</v>
      </c>
      <c r="I1850" s="13">
        <v>2027</v>
      </c>
      <c r="J1850" s="47">
        <v>1000000</v>
      </c>
      <c r="K1850" s="16" t="s">
        <v>62</v>
      </c>
      <c r="L1850" s="3" t="s">
        <v>41</v>
      </c>
      <c r="M1850" s="3" t="s">
        <v>42</v>
      </c>
      <c r="N1850" s="3" t="s">
        <v>43</v>
      </c>
    </row>
    <row r="1851" spans="1:14" x14ac:dyDescent="0.3">
      <c r="A1851" s="36" t="s">
        <v>37</v>
      </c>
      <c r="B1851" s="13">
        <v>117</v>
      </c>
      <c r="C1851" s="48" t="str">
        <f t="shared" ref="C1851:C1882" si="73">HYPERLINK("https://uscode.house.gov/statutes/pl/117/167.pdf", "P.L. 117-167")</f>
        <v>P.L. 117-167</v>
      </c>
      <c r="D1851" s="3" t="s">
        <v>3422</v>
      </c>
      <c r="E1851" s="3" t="s">
        <v>3423</v>
      </c>
      <c r="F1851" s="3" t="s">
        <v>3424</v>
      </c>
      <c r="G1851" s="48" t="str">
        <f>HYPERLINK("https://uscode.house.gov/view.xhtml?req=granuleid:USC-prelim-title42-section18655&amp;num=0&amp;edition=prelim", "42 U.S.C. 18655(5)")</f>
        <v>42 U.S.C. 18655(5)</v>
      </c>
      <c r="H1851" s="46">
        <v>46660</v>
      </c>
      <c r="I1851" s="13">
        <v>2027</v>
      </c>
      <c r="J1851" s="47">
        <v>10831342000</v>
      </c>
      <c r="K1851" s="16" t="s">
        <v>62</v>
      </c>
      <c r="L1851" s="3" t="s">
        <v>135</v>
      </c>
      <c r="M1851" s="3" t="s">
        <v>148</v>
      </c>
      <c r="N1851" s="3" t="s">
        <v>58</v>
      </c>
    </row>
    <row r="1852" spans="1:14" x14ac:dyDescent="0.3">
      <c r="A1852" s="36" t="s">
        <v>37</v>
      </c>
      <c r="B1852" s="13">
        <v>117</v>
      </c>
      <c r="C1852" s="48" t="str">
        <f t="shared" si="73"/>
        <v>P.L. 117-167</v>
      </c>
      <c r="D1852" s="3" t="s">
        <v>3422</v>
      </c>
      <c r="E1852" s="3" t="s">
        <v>3425</v>
      </c>
      <c r="F1852" s="3" t="s">
        <v>3426</v>
      </c>
      <c r="G1852" s="48" t="str">
        <f>HYPERLINK("https://uscode.house.gov/view.xhtml?req=granuleid:USC-prelim-title42-section13503&amp;num=0&amp;edition=prelim", "42 U.S.C. 13503(b)(3)")</f>
        <v>42 U.S.C. 13503(b)(3)</v>
      </c>
      <c r="H1852" s="46">
        <v>46660</v>
      </c>
      <c r="I1852" s="13">
        <v>2027</v>
      </c>
      <c r="J1852" s="47">
        <v>100000000</v>
      </c>
      <c r="K1852" s="16" t="s">
        <v>62</v>
      </c>
      <c r="L1852" s="3" t="s">
        <v>135</v>
      </c>
      <c r="M1852" s="3" t="s">
        <v>148</v>
      </c>
      <c r="N1852" s="3" t="s">
        <v>58</v>
      </c>
    </row>
    <row r="1853" spans="1:14" x14ac:dyDescent="0.3">
      <c r="A1853" s="36" t="s">
        <v>37</v>
      </c>
      <c r="B1853" s="13">
        <v>117</v>
      </c>
      <c r="C1853" s="48" t="str">
        <f t="shared" si="73"/>
        <v>P.L. 117-167</v>
      </c>
      <c r="D1853" s="3" t="s">
        <v>3422</v>
      </c>
      <c r="E1853" s="3" t="s">
        <v>3427</v>
      </c>
      <c r="F1853" s="3" t="s">
        <v>3428</v>
      </c>
      <c r="G1853" s="48" t="str">
        <f>HYPERLINK("https://uscode.house.gov/view.xhtml?req=granuleid:USC-prelim-title42-section13503&amp;num=0&amp;edition=prelim", "42 U.S.C. 13503(b)(3)")</f>
        <v>42 U.S.C. 13503(b)(3)</v>
      </c>
      <c r="H1853" s="46">
        <v>46660</v>
      </c>
      <c r="I1853" s="13">
        <v>2027</v>
      </c>
      <c r="J1853" s="47">
        <v>25000000</v>
      </c>
      <c r="K1853" s="16" t="s">
        <v>62</v>
      </c>
      <c r="L1853" s="3" t="s">
        <v>135</v>
      </c>
      <c r="M1853" s="3" t="s">
        <v>148</v>
      </c>
      <c r="N1853" s="3" t="s">
        <v>58</v>
      </c>
    </row>
    <row r="1854" spans="1:14" x14ac:dyDescent="0.3">
      <c r="A1854" s="36" t="s">
        <v>37</v>
      </c>
      <c r="B1854" s="13">
        <v>117</v>
      </c>
      <c r="C1854" s="48" t="str">
        <f t="shared" si="73"/>
        <v>P.L. 117-167</v>
      </c>
      <c r="D1854" s="3" t="s">
        <v>3422</v>
      </c>
      <c r="E1854" s="3" t="s">
        <v>3429</v>
      </c>
      <c r="F1854" s="3" t="s">
        <v>3430</v>
      </c>
      <c r="G1854" s="49"/>
      <c r="H1854" s="46">
        <v>46660</v>
      </c>
      <c r="I1854" s="13">
        <v>2027</v>
      </c>
      <c r="J1854" s="47">
        <v>200000000</v>
      </c>
      <c r="K1854" s="16" t="s">
        <v>62</v>
      </c>
      <c r="L1854" s="3" t="s">
        <v>135</v>
      </c>
      <c r="M1854" s="3" t="s">
        <v>148</v>
      </c>
      <c r="N1854" s="3" t="s">
        <v>43</v>
      </c>
    </row>
    <row r="1855" spans="1:14" x14ac:dyDescent="0.3">
      <c r="A1855" s="36" t="s">
        <v>37</v>
      </c>
      <c r="B1855" s="13">
        <v>117</v>
      </c>
      <c r="C1855" s="48" t="str">
        <f t="shared" si="73"/>
        <v>P.L. 117-167</v>
      </c>
      <c r="D1855" s="3" t="s">
        <v>3422</v>
      </c>
      <c r="E1855" s="3" t="s">
        <v>3429</v>
      </c>
      <c r="F1855" s="3" t="s">
        <v>3431</v>
      </c>
      <c r="G1855" s="49"/>
      <c r="H1855" s="46">
        <v>46660</v>
      </c>
      <c r="I1855" s="13">
        <v>2027</v>
      </c>
      <c r="J1855" s="47">
        <v>1283360000</v>
      </c>
      <c r="K1855" s="16" t="s">
        <v>62</v>
      </c>
      <c r="L1855" s="3" t="s">
        <v>135</v>
      </c>
      <c r="M1855" s="3" t="s">
        <v>148</v>
      </c>
      <c r="N1855" s="3" t="s">
        <v>43</v>
      </c>
    </row>
    <row r="1856" spans="1:14" x14ac:dyDescent="0.3">
      <c r="A1856" s="36" t="s">
        <v>37</v>
      </c>
      <c r="B1856" s="13">
        <v>117</v>
      </c>
      <c r="C1856" s="48" t="str">
        <f t="shared" si="73"/>
        <v>P.L. 117-167</v>
      </c>
      <c r="D1856" s="3" t="s">
        <v>3422</v>
      </c>
      <c r="E1856" s="3" t="s">
        <v>3429</v>
      </c>
      <c r="F1856" s="3" t="s">
        <v>3432</v>
      </c>
      <c r="G1856" s="49"/>
      <c r="H1856" s="46">
        <v>46660</v>
      </c>
      <c r="I1856" s="13">
        <v>2027</v>
      </c>
      <c r="J1856" s="47">
        <v>800000000</v>
      </c>
      <c r="K1856" s="16" t="s">
        <v>62</v>
      </c>
      <c r="L1856" s="3" t="s">
        <v>135</v>
      </c>
      <c r="M1856" s="3" t="s">
        <v>148</v>
      </c>
      <c r="N1856" s="3" t="s">
        <v>43</v>
      </c>
    </row>
    <row r="1857" spans="1:14" x14ac:dyDescent="0.3">
      <c r="A1857" s="36" t="s">
        <v>37</v>
      </c>
      <c r="B1857" s="13">
        <v>117</v>
      </c>
      <c r="C1857" s="48" t="str">
        <f t="shared" si="73"/>
        <v>P.L. 117-167</v>
      </c>
      <c r="D1857" s="3" t="s">
        <v>3422</v>
      </c>
      <c r="E1857" s="3" t="s">
        <v>3433</v>
      </c>
      <c r="F1857" s="3" t="s">
        <v>3434</v>
      </c>
      <c r="G1857" s="49"/>
      <c r="H1857" s="46">
        <v>46295</v>
      </c>
      <c r="I1857" s="13">
        <v>2026</v>
      </c>
      <c r="J1857" s="47">
        <v>2000000</v>
      </c>
      <c r="K1857" s="16" t="s">
        <v>62</v>
      </c>
      <c r="L1857" s="3" t="s">
        <v>135</v>
      </c>
      <c r="M1857" s="3" t="s">
        <v>148</v>
      </c>
      <c r="N1857" s="3" t="s">
        <v>43</v>
      </c>
    </row>
    <row r="1858" spans="1:14" x14ac:dyDescent="0.3">
      <c r="A1858" s="36" t="s">
        <v>37</v>
      </c>
      <c r="B1858" s="13">
        <v>117</v>
      </c>
      <c r="C1858" s="48" t="str">
        <f t="shared" si="73"/>
        <v>P.L. 117-167</v>
      </c>
      <c r="D1858" s="3" t="s">
        <v>3422</v>
      </c>
      <c r="E1858" s="3" t="s">
        <v>3435</v>
      </c>
      <c r="F1858" s="3" t="s">
        <v>3436</v>
      </c>
      <c r="G1858" s="49"/>
      <c r="H1858" s="46">
        <v>46660</v>
      </c>
      <c r="I1858" s="13">
        <v>2027</v>
      </c>
      <c r="J1858" s="47">
        <v>18919180000</v>
      </c>
      <c r="K1858" s="16" t="s">
        <v>62</v>
      </c>
      <c r="L1858" s="3" t="s">
        <v>135</v>
      </c>
      <c r="M1858" s="3" t="s">
        <v>148</v>
      </c>
      <c r="N1858" s="3" t="s">
        <v>43</v>
      </c>
    </row>
    <row r="1859" spans="1:14" x14ac:dyDescent="0.3">
      <c r="A1859" s="36" t="s">
        <v>37</v>
      </c>
      <c r="B1859" s="13">
        <v>117</v>
      </c>
      <c r="C1859" s="48" t="str">
        <f t="shared" si="73"/>
        <v>P.L. 117-167</v>
      </c>
      <c r="D1859" s="3" t="s">
        <v>3422</v>
      </c>
      <c r="E1859" s="3" t="s">
        <v>3437</v>
      </c>
      <c r="F1859" s="3" t="s">
        <v>3438</v>
      </c>
      <c r="G1859" s="49"/>
      <c r="H1859" s="46">
        <v>48487</v>
      </c>
      <c r="I1859" s="13">
        <v>2032</v>
      </c>
      <c r="J1859" s="47">
        <v>60000000</v>
      </c>
      <c r="K1859" s="16" t="s">
        <v>62</v>
      </c>
      <c r="L1859" s="3" t="s">
        <v>135</v>
      </c>
      <c r="M1859" s="3" t="s">
        <v>148</v>
      </c>
      <c r="N1859" s="3" t="s">
        <v>43</v>
      </c>
    </row>
    <row r="1860" spans="1:14" x14ac:dyDescent="0.3">
      <c r="A1860" s="36" t="s">
        <v>37</v>
      </c>
      <c r="B1860" s="13">
        <v>117</v>
      </c>
      <c r="C1860" s="48" t="str">
        <f t="shared" si="73"/>
        <v>P.L. 117-167</v>
      </c>
      <c r="D1860" s="3" t="s">
        <v>3422</v>
      </c>
      <c r="E1860" s="3" t="s">
        <v>3439</v>
      </c>
      <c r="F1860" s="3" t="s">
        <v>3440</v>
      </c>
      <c r="G1860" s="48" t="str">
        <f>HYPERLINK("https://uscode.house.gov/view.xhtml?req=granuleid:USC-prelim-title42-section1862j&amp;num=0&amp;edition=prelim", "42 U.S.C. 1862j")</f>
        <v>42 U.S.C. 1862j</v>
      </c>
      <c r="H1860" s="46">
        <v>46660</v>
      </c>
      <c r="I1860" s="13">
        <v>2027</v>
      </c>
      <c r="J1860" s="47">
        <v>150000000</v>
      </c>
      <c r="K1860" s="16" t="s">
        <v>62</v>
      </c>
      <c r="L1860" s="3" t="s">
        <v>135</v>
      </c>
      <c r="M1860" s="3" t="s">
        <v>148</v>
      </c>
      <c r="N1860" s="3" t="s">
        <v>43</v>
      </c>
    </row>
    <row r="1861" spans="1:14" x14ac:dyDescent="0.3">
      <c r="A1861" s="36" t="s">
        <v>37</v>
      </c>
      <c r="B1861" s="13">
        <v>117</v>
      </c>
      <c r="C1861" s="48" t="str">
        <f t="shared" si="73"/>
        <v>P.L. 117-167</v>
      </c>
      <c r="D1861" s="3" t="s">
        <v>3422</v>
      </c>
      <c r="E1861" s="3" t="s">
        <v>3441</v>
      </c>
      <c r="F1861" s="3" t="s">
        <v>3442</v>
      </c>
      <c r="G1861" s="49"/>
      <c r="H1861" s="46">
        <v>46660</v>
      </c>
      <c r="I1861" s="13">
        <v>2027</v>
      </c>
      <c r="J1861" s="47">
        <v>150000000</v>
      </c>
      <c r="K1861" s="16" t="s">
        <v>62</v>
      </c>
      <c r="L1861" s="3" t="s">
        <v>135</v>
      </c>
      <c r="M1861" s="3" t="s">
        <v>148</v>
      </c>
      <c r="N1861" s="3" t="s">
        <v>43</v>
      </c>
    </row>
    <row r="1862" spans="1:14" x14ac:dyDescent="0.3">
      <c r="A1862" s="36" t="s">
        <v>37</v>
      </c>
      <c r="B1862" s="13">
        <v>117</v>
      </c>
      <c r="C1862" s="48" t="str">
        <f t="shared" si="73"/>
        <v>P.L. 117-167</v>
      </c>
      <c r="D1862" s="3" t="s">
        <v>3422</v>
      </c>
      <c r="E1862" s="3" t="s">
        <v>3443</v>
      </c>
      <c r="F1862" s="3" t="s">
        <v>3444</v>
      </c>
      <c r="G1862" s="49"/>
      <c r="H1862" s="46">
        <v>46660</v>
      </c>
      <c r="I1862" s="13">
        <v>2027</v>
      </c>
      <c r="J1862" s="47">
        <v>5000000</v>
      </c>
      <c r="K1862" s="16" t="s">
        <v>62</v>
      </c>
      <c r="L1862" s="3" t="s">
        <v>135</v>
      </c>
      <c r="M1862" s="3" t="s">
        <v>148</v>
      </c>
      <c r="N1862" s="3" t="s">
        <v>43</v>
      </c>
    </row>
    <row r="1863" spans="1:14" x14ac:dyDescent="0.3">
      <c r="A1863" s="36" t="s">
        <v>37</v>
      </c>
      <c r="B1863" s="13">
        <v>117</v>
      </c>
      <c r="C1863" s="48" t="str">
        <f t="shared" si="73"/>
        <v>P.L. 117-167</v>
      </c>
      <c r="D1863" s="3" t="s">
        <v>3422</v>
      </c>
      <c r="E1863" s="3" t="s">
        <v>3445</v>
      </c>
      <c r="F1863" s="3" t="s">
        <v>3446</v>
      </c>
      <c r="G1863" s="48" t="str">
        <f>HYPERLINK("https://uscode.house.gov/view.xhtml?req=granuleid:USC-prelim-title42-section1862s-5&amp;num=0&amp;edition=prelim", "42 U.S.C. 1862s-5(e)(5)")</f>
        <v>42 U.S.C. 1862s-5(e)(5)</v>
      </c>
      <c r="H1863" s="46">
        <v>46660</v>
      </c>
      <c r="I1863" s="13">
        <v>2027</v>
      </c>
      <c r="J1863" s="47">
        <v>8000000</v>
      </c>
      <c r="K1863" s="16" t="s">
        <v>62</v>
      </c>
      <c r="L1863" s="3" t="s">
        <v>135</v>
      </c>
      <c r="M1863" s="3" t="s">
        <v>148</v>
      </c>
      <c r="N1863" s="3" t="s">
        <v>43</v>
      </c>
    </row>
    <row r="1864" spans="1:14" x14ac:dyDescent="0.3">
      <c r="A1864" s="36" t="s">
        <v>37</v>
      </c>
      <c r="B1864" s="13">
        <v>117</v>
      </c>
      <c r="C1864" s="48" t="str">
        <f t="shared" si="73"/>
        <v>P.L. 117-167</v>
      </c>
      <c r="D1864" s="3" t="s">
        <v>3422</v>
      </c>
      <c r="E1864" s="3" t="s">
        <v>3445</v>
      </c>
      <c r="F1864" s="3" t="s">
        <v>3447</v>
      </c>
      <c r="G1864" s="48" t="str">
        <f>HYPERLINK("https://uscode.house.gov/view.xhtml?req=granuleid:USC-prelim-title42-section1862s-5&amp;num=0&amp;edition=prelim", "42 U.S.C. 1862s-5(f)(6)")</f>
        <v>42 U.S.C. 1862s-5(f)(6)</v>
      </c>
      <c r="H1864" s="46">
        <v>46660</v>
      </c>
      <c r="I1864" s="13">
        <v>2027</v>
      </c>
      <c r="J1864" s="47">
        <v>15000000</v>
      </c>
      <c r="K1864" s="16" t="s">
        <v>62</v>
      </c>
      <c r="L1864" s="3" t="s">
        <v>135</v>
      </c>
      <c r="M1864" s="3" t="s">
        <v>148</v>
      </c>
      <c r="N1864" s="3" t="s">
        <v>43</v>
      </c>
    </row>
    <row r="1865" spans="1:14" x14ac:dyDescent="0.3">
      <c r="A1865" s="36" t="s">
        <v>37</v>
      </c>
      <c r="B1865" s="13">
        <v>117</v>
      </c>
      <c r="C1865" s="48" t="str">
        <f t="shared" si="73"/>
        <v>P.L. 117-167</v>
      </c>
      <c r="D1865" s="3" t="s">
        <v>3422</v>
      </c>
      <c r="E1865" s="3" t="s">
        <v>3448</v>
      </c>
      <c r="F1865" s="3" t="s">
        <v>3449</v>
      </c>
      <c r="G1865" s="49"/>
      <c r="H1865" s="46">
        <v>45930</v>
      </c>
      <c r="I1865" s="13">
        <v>2025</v>
      </c>
      <c r="J1865" s="47">
        <v>38000000</v>
      </c>
      <c r="K1865" s="16" t="s">
        <v>62</v>
      </c>
      <c r="L1865" s="3" t="s">
        <v>135</v>
      </c>
      <c r="M1865" s="3" t="s">
        <v>148</v>
      </c>
      <c r="N1865" s="3" t="s">
        <v>43</v>
      </c>
    </row>
    <row r="1866" spans="1:14" x14ac:dyDescent="0.3">
      <c r="A1866" s="36" t="s">
        <v>37</v>
      </c>
      <c r="B1866" s="13">
        <v>117</v>
      </c>
      <c r="C1866" s="48" t="str">
        <f t="shared" si="73"/>
        <v>P.L. 117-167</v>
      </c>
      <c r="D1866" s="3" t="s">
        <v>3422</v>
      </c>
      <c r="E1866" s="3" t="s">
        <v>3450</v>
      </c>
      <c r="F1866" s="3" t="s">
        <v>3451</v>
      </c>
      <c r="G1866" s="49"/>
      <c r="H1866" s="46">
        <v>46660</v>
      </c>
      <c r="I1866" s="13">
        <v>2027</v>
      </c>
      <c r="J1866" s="47">
        <v>9000000</v>
      </c>
      <c r="K1866" s="16" t="s">
        <v>62</v>
      </c>
      <c r="L1866" s="3" t="s">
        <v>135</v>
      </c>
      <c r="M1866" s="3" t="s">
        <v>148</v>
      </c>
      <c r="N1866" s="3" t="s">
        <v>43</v>
      </c>
    </row>
    <row r="1867" spans="1:14" x14ac:dyDescent="0.3">
      <c r="A1867" s="36" t="s">
        <v>37</v>
      </c>
      <c r="B1867" s="13">
        <v>117</v>
      </c>
      <c r="C1867" s="48" t="str">
        <f t="shared" si="73"/>
        <v>P.L. 117-167</v>
      </c>
      <c r="D1867" s="3" t="s">
        <v>3422</v>
      </c>
      <c r="E1867" s="3" t="s">
        <v>3452</v>
      </c>
      <c r="F1867" s="3" t="s">
        <v>3453</v>
      </c>
      <c r="G1867" s="49"/>
      <c r="H1867" s="46">
        <v>46660</v>
      </c>
      <c r="I1867" s="13">
        <v>2027</v>
      </c>
      <c r="J1867" s="47">
        <v>125000000</v>
      </c>
      <c r="K1867" s="16" t="s">
        <v>62</v>
      </c>
      <c r="L1867" s="3" t="s">
        <v>135</v>
      </c>
      <c r="M1867" s="3" t="s">
        <v>148</v>
      </c>
      <c r="N1867" s="3" t="s">
        <v>43</v>
      </c>
    </row>
    <row r="1868" spans="1:14" x14ac:dyDescent="0.3">
      <c r="A1868" s="36" t="s">
        <v>37</v>
      </c>
      <c r="B1868" s="13">
        <v>117</v>
      </c>
      <c r="C1868" s="48" t="str">
        <f t="shared" si="73"/>
        <v>P.L. 117-167</v>
      </c>
      <c r="D1868" s="3" t="s">
        <v>3422</v>
      </c>
      <c r="E1868" s="3" t="s">
        <v>3454</v>
      </c>
      <c r="F1868" s="3" t="s">
        <v>3455</v>
      </c>
      <c r="G1868" s="49"/>
      <c r="H1868" s="46">
        <v>45930</v>
      </c>
      <c r="I1868" s="13">
        <v>2025</v>
      </c>
      <c r="J1868" s="47">
        <v>4000000</v>
      </c>
      <c r="K1868" s="16" t="s">
        <v>62</v>
      </c>
      <c r="L1868" s="3" t="s">
        <v>135</v>
      </c>
      <c r="M1868" s="3" t="s">
        <v>148</v>
      </c>
      <c r="N1868" s="3" t="s">
        <v>43</v>
      </c>
    </row>
    <row r="1869" spans="1:14" x14ac:dyDescent="0.3">
      <c r="A1869" s="36" t="s">
        <v>37</v>
      </c>
      <c r="B1869" s="13">
        <v>117</v>
      </c>
      <c r="C1869" s="48" t="str">
        <f t="shared" si="73"/>
        <v>P.L. 117-167</v>
      </c>
      <c r="D1869" s="3" t="s">
        <v>3422</v>
      </c>
      <c r="E1869" s="3" t="s">
        <v>3456</v>
      </c>
      <c r="F1869" s="3" t="s">
        <v>3457</v>
      </c>
      <c r="G1869" s="49"/>
      <c r="H1869" s="46">
        <v>46660</v>
      </c>
      <c r="I1869" s="13">
        <v>2027</v>
      </c>
      <c r="J1869" s="47">
        <v>8000000</v>
      </c>
      <c r="K1869" s="16" t="s">
        <v>62</v>
      </c>
      <c r="L1869" s="3" t="s">
        <v>135</v>
      </c>
      <c r="M1869" s="3" t="s">
        <v>148</v>
      </c>
      <c r="N1869" s="3" t="s">
        <v>43</v>
      </c>
    </row>
    <row r="1870" spans="1:14" x14ac:dyDescent="0.3">
      <c r="A1870" s="36" t="s">
        <v>37</v>
      </c>
      <c r="B1870" s="13">
        <v>117</v>
      </c>
      <c r="C1870" s="48" t="str">
        <f t="shared" si="73"/>
        <v>P.L. 117-167</v>
      </c>
      <c r="D1870" s="3" t="s">
        <v>3422</v>
      </c>
      <c r="E1870" s="3" t="s">
        <v>3458</v>
      </c>
      <c r="F1870" s="3" t="s">
        <v>3459</v>
      </c>
      <c r="G1870" s="49"/>
      <c r="H1870" s="46">
        <v>46660</v>
      </c>
      <c r="I1870" s="13">
        <v>2027</v>
      </c>
      <c r="J1870" s="47">
        <v>12000000</v>
      </c>
      <c r="K1870" s="16" t="s">
        <v>62</v>
      </c>
      <c r="L1870" s="3" t="s">
        <v>135</v>
      </c>
      <c r="M1870" s="3" t="s">
        <v>148</v>
      </c>
      <c r="N1870" s="3" t="s">
        <v>43</v>
      </c>
    </row>
    <row r="1871" spans="1:14" x14ac:dyDescent="0.3">
      <c r="A1871" s="36" t="s">
        <v>37</v>
      </c>
      <c r="B1871" s="13">
        <v>117</v>
      </c>
      <c r="C1871" s="48" t="str">
        <f t="shared" si="73"/>
        <v>P.L. 117-167</v>
      </c>
      <c r="D1871" s="3" t="s">
        <v>3422</v>
      </c>
      <c r="E1871" s="3" t="s">
        <v>3460</v>
      </c>
      <c r="F1871" s="3" t="s">
        <v>3461</v>
      </c>
      <c r="G1871" s="49"/>
      <c r="H1871" s="46">
        <v>45199</v>
      </c>
      <c r="I1871" s="13">
        <v>2023</v>
      </c>
      <c r="J1871" s="47">
        <v>1000000</v>
      </c>
      <c r="K1871" s="16" t="s">
        <v>62</v>
      </c>
      <c r="L1871" s="3" t="s">
        <v>135</v>
      </c>
      <c r="M1871" s="3" t="s">
        <v>148</v>
      </c>
      <c r="N1871" s="3" t="s">
        <v>43</v>
      </c>
    </row>
    <row r="1872" spans="1:14" x14ac:dyDescent="0.3">
      <c r="A1872" s="36" t="s">
        <v>37</v>
      </c>
      <c r="B1872" s="13">
        <v>117</v>
      </c>
      <c r="C1872" s="48" t="str">
        <f t="shared" si="73"/>
        <v>P.L. 117-167</v>
      </c>
      <c r="D1872" s="3" t="s">
        <v>3422</v>
      </c>
      <c r="E1872" s="3" t="s">
        <v>3462</v>
      </c>
      <c r="F1872" s="3" t="s">
        <v>3463</v>
      </c>
      <c r="G1872" s="49"/>
      <c r="H1872" s="46">
        <v>46660</v>
      </c>
      <c r="I1872" s="13">
        <v>2027</v>
      </c>
      <c r="J1872" s="47">
        <v>250000000</v>
      </c>
      <c r="K1872" s="16" t="s">
        <v>62</v>
      </c>
      <c r="L1872" s="3" t="s">
        <v>135</v>
      </c>
      <c r="M1872" s="3" t="s">
        <v>148</v>
      </c>
      <c r="N1872" s="3" t="s">
        <v>43</v>
      </c>
    </row>
    <row r="1873" spans="1:14" x14ac:dyDescent="0.3">
      <c r="A1873" s="36" t="s">
        <v>37</v>
      </c>
      <c r="B1873" s="13">
        <v>117</v>
      </c>
      <c r="C1873" s="48" t="str">
        <f t="shared" si="73"/>
        <v>P.L. 117-167</v>
      </c>
      <c r="D1873" s="3" t="s">
        <v>3422</v>
      </c>
      <c r="E1873" s="3" t="s">
        <v>3464</v>
      </c>
      <c r="F1873" s="3" t="s">
        <v>3465</v>
      </c>
      <c r="G1873" s="49"/>
      <c r="H1873" s="46">
        <v>46660</v>
      </c>
      <c r="I1873" s="13">
        <v>2027</v>
      </c>
      <c r="J1873" s="47">
        <v>2000000</v>
      </c>
      <c r="K1873" s="16" t="s">
        <v>62</v>
      </c>
      <c r="L1873" s="3" t="s">
        <v>135</v>
      </c>
      <c r="M1873" s="3" t="s">
        <v>148</v>
      </c>
      <c r="N1873" s="3" t="s">
        <v>43</v>
      </c>
    </row>
    <row r="1874" spans="1:14" x14ac:dyDescent="0.3">
      <c r="A1874" s="36" t="s">
        <v>37</v>
      </c>
      <c r="B1874" s="13">
        <v>117</v>
      </c>
      <c r="C1874" s="48" t="str">
        <f t="shared" si="73"/>
        <v>P.L. 117-167</v>
      </c>
      <c r="D1874" s="3" t="s">
        <v>3422</v>
      </c>
      <c r="E1874" s="3" t="s">
        <v>3466</v>
      </c>
      <c r="F1874" s="3" t="s">
        <v>3467</v>
      </c>
      <c r="G1874" s="49"/>
      <c r="H1874" s="46">
        <v>45565</v>
      </c>
      <c r="I1874" s="13">
        <v>2024</v>
      </c>
      <c r="J1874" s="47">
        <v>250000000</v>
      </c>
      <c r="K1874" s="16" t="s">
        <v>62</v>
      </c>
      <c r="L1874" s="3" t="s">
        <v>135</v>
      </c>
      <c r="M1874" s="3" t="s">
        <v>148</v>
      </c>
      <c r="N1874" s="3" t="s">
        <v>43</v>
      </c>
    </row>
    <row r="1875" spans="1:14" x14ac:dyDescent="0.3">
      <c r="A1875" s="36" t="s">
        <v>37</v>
      </c>
      <c r="B1875" s="13">
        <v>117</v>
      </c>
      <c r="C1875" s="48" t="str">
        <f t="shared" si="73"/>
        <v>P.L. 117-167</v>
      </c>
      <c r="D1875" s="3" t="s">
        <v>3422</v>
      </c>
      <c r="E1875" s="3" t="s">
        <v>3468</v>
      </c>
      <c r="F1875" s="3" t="s">
        <v>3469</v>
      </c>
      <c r="G1875" s="49"/>
      <c r="H1875" s="46">
        <v>46660</v>
      </c>
      <c r="I1875" s="13">
        <v>2027</v>
      </c>
      <c r="J1875" s="16" t="s">
        <v>12</v>
      </c>
      <c r="K1875" s="16" t="s">
        <v>62</v>
      </c>
      <c r="L1875" s="3" t="s">
        <v>135</v>
      </c>
      <c r="M1875" s="3" t="s">
        <v>148</v>
      </c>
      <c r="N1875" s="3" t="s">
        <v>43</v>
      </c>
    </row>
    <row r="1876" spans="1:14" x14ac:dyDescent="0.3">
      <c r="A1876" s="36" t="s">
        <v>37</v>
      </c>
      <c r="B1876" s="13">
        <v>117</v>
      </c>
      <c r="C1876" s="48" t="str">
        <f t="shared" si="73"/>
        <v>P.L. 117-167</v>
      </c>
      <c r="D1876" s="3" t="s">
        <v>3422</v>
      </c>
      <c r="E1876" s="3" t="s">
        <v>3470</v>
      </c>
      <c r="F1876" s="3" t="s">
        <v>3471</v>
      </c>
      <c r="G1876" s="48" t="str">
        <f>HYPERLINK("https://uscode.house.gov/view.xhtml?req=granuleid:USC-prelim-title15-section3701&amp;num=0&amp;edition=prelim", "15 U.S.C. 3701(28)(k)")</f>
        <v>15 U.S.C. 3701(28)(k)</v>
      </c>
      <c r="H1876" s="46">
        <v>46660</v>
      </c>
      <c r="I1876" s="13">
        <v>2027</v>
      </c>
      <c r="J1876" s="47">
        <v>7000000000</v>
      </c>
      <c r="K1876" s="16" t="s">
        <v>62</v>
      </c>
      <c r="L1876" s="3" t="s">
        <v>135</v>
      </c>
      <c r="M1876" s="3" t="s">
        <v>148</v>
      </c>
      <c r="N1876" s="3" t="s">
        <v>43</v>
      </c>
    </row>
    <row r="1877" spans="1:14" x14ac:dyDescent="0.3">
      <c r="A1877" s="36" t="s">
        <v>37</v>
      </c>
      <c r="B1877" s="13">
        <v>117</v>
      </c>
      <c r="C1877" s="48" t="str">
        <f t="shared" si="73"/>
        <v>P.L. 117-167</v>
      </c>
      <c r="D1877" s="3" t="s">
        <v>3422</v>
      </c>
      <c r="E1877" s="3" t="s">
        <v>3472</v>
      </c>
      <c r="F1877" s="3" t="s">
        <v>3473</v>
      </c>
      <c r="G1877" s="48" t="str">
        <f>HYPERLINK("https://uscode.house.gov/view.xhtml?req=granuleid:USC-prelim-title42-section3701&amp;num=0&amp;edition=prelim", "42 U.S.C. 3701(29)(l)")</f>
        <v>42 U.S.C. 3701(29)(l)</v>
      </c>
      <c r="H1877" s="46">
        <v>46295</v>
      </c>
      <c r="I1877" s="13">
        <v>2026</v>
      </c>
      <c r="J1877" s="16" t="s">
        <v>12</v>
      </c>
      <c r="K1877" s="16" t="s">
        <v>62</v>
      </c>
      <c r="L1877" s="3" t="s">
        <v>135</v>
      </c>
      <c r="M1877" s="3" t="s">
        <v>148</v>
      </c>
      <c r="N1877" s="3" t="s">
        <v>43</v>
      </c>
    </row>
    <row r="1878" spans="1:14" x14ac:dyDescent="0.3">
      <c r="A1878" s="36" t="s">
        <v>37</v>
      </c>
      <c r="B1878" s="13">
        <v>117</v>
      </c>
      <c r="C1878" s="48" t="str">
        <f t="shared" si="73"/>
        <v>P.L. 117-167</v>
      </c>
      <c r="D1878" s="3" t="s">
        <v>3422</v>
      </c>
      <c r="E1878" s="3" t="s">
        <v>3474</v>
      </c>
      <c r="F1878" s="3" t="s">
        <v>3475</v>
      </c>
      <c r="G1878" s="49"/>
      <c r="H1878" s="46">
        <v>46660</v>
      </c>
      <c r="I1878" s="13">
        <v>2027</v>
      </c>
      <c r="J1878" s="47">
        <v>50000000</v>
      </c>
      <c r="K1878" s="16" t="s">
        <v>62</v>
      </c>
      <c r="L1878" s="3" t="s">
        <v>135</v>
      </c>
      <c r="M1878" s="3" t="s">
        <v>148</v>
      </c>
      <c r="N1878" s="3" t="s">
        <v>58</v>
      </c>
    </row>
    <row r="1879" spans="1:14" x14ac:dyDescent="0.3">
      <c r="A1879" s="36" t="s">
        <v>37</v>
      </c>
      <c r="B1879" s="13">
        <v>117</v>
      </c>
      <c r="C1879" s="48" t="str">
        <f t="shared" si="73"/>
        <v>P.L. 117-167</v>
      </c>
      <c r="D1879" s="3" t="s">
        <v>3422</v>
      </c>
      <c r="E1879" s="3" t="s">
        <v>3476</v>
      </c>
      <c r="F1879" s="3" t="s">
        <v>3477</v>
      </c>
      <c r="G1879" s="48" t="str">
        <f>HYPERLINK("https://uscode.house.gov/view.xhtml?req=granuleid:USC-prelim-title33-section3708&amp;num=0&amp;edition=prelim", "33 U.S.C. 3708(a)(5)")</f>
        <v>33 U.S.C. 3708(a)(5)</v>
      </c>
      <c r="H1879" s="46">
        <v>46660</v>
      </c>
      <c r="I1879" s="13">
        <v>2027</v>
      </c>
      <c r="J1879" s="47">
        <v>28000000</v>
      </c>
      <c r="K1879" s="16" t="s">
        <v>62</v>
      </c>
      <c r="L1879" s="3" t="s">
        <v>47</v>
      </c>
      <c r="M1879" s="3" t="s">
        <v>148</v>
      </c>
      <c r="N1879" s="3" t="s">
        <v>43</v>
      </c>
    </row>
    <row r="1880" spans="1:14" x14ac:dyDescent="0.3">
      <c r="A1880" s="36" t="s">
        <v>37</v>
      </c>
      <c r="B1880" s="13">
        <v>117</v>
      </c>
      <c r="C1880" s="48" t="str">
        <f t="shared" si="73"/>
        <v>P.L. 117-167</v>
      </c>
      <c r="D1880" s="3" t="s">
        <v>3422</v>
      </c>
      <c r="E1880" s="3" t="s">
        <v>3476</v>
      </c>
      <c r="F1880" s="3" t="s">
        <v>3478</v>
      </c>
      <c r="G1880" s="49"/>
      <c r="H1880" s="46">
        <v>46660</v>
      </c>
      <c r="I1880" s="13">
        <v>2027</v>
      </c>
      <c r="J1880" s="47">
        <v>20000000</v>
      </c>
      <c r="K1880" s="16" t="s">
        <v>62</v>
      </c>
      <c r="L1880" s="3" t="s">
        <v>135</v>
      </c>
      <c r="M1880" s="3" t="s">
        <v>148</v>
      </c>
      <c r="N1880" s="3" t="s">
        <v>43</v>
      </c>
    </row>
    <row r="1881" spans="1:14" x14ac:dyDescent="0.3">
      <c r="A1881" s="36" t="s">
        <v>37</v>
      </c>
      <c r="B1881" s="13">
        <v>117</v>
      </c>
      <c r="C1881" s="48" t="str">
        <f t="shared" si="73"/>
        <v>P.L. 117-167</v>
      </c>
      <c r="D1881" s="3" t="s">
        <v>3422</v>
      </c>
      <c r="E1881" s="3" t="s">
        <v>3479</v>
      </c>
      <c r="F1881" s="3" t="s">
        <v>3480</v>
      </c>
      <c r="G1881" s="48" t="str">
        <f>HYPERLINK("https://uscode.house.gov/view.xhtml?req=granuleid:USC-prelim-title15-section8831&amp;num=0&amp;edition=prelim", "15 U.S.C. 8831")</f>
        <v>15 U.S.C. 8831</v>
      </c>
      <c r="H1881" s="46">
        <v>46660</v>
      </c>
      <c r="I1881" s="13">
        <v>2027</v>
      </c>
      <c r="J1881" s="47">
        <v>15000000</v>
      </c>
      <c r="K1881" s="16" t="s">
        <v>62</v>
      </c>
      <c r="L1881" s="3" t="s">
        <v>135</v>
      </c>
      <c r="M1881" s="3" t="s">
        <v>148</v>
      </c>
      <c r="N1881" s="3" t="s">
        <v>43</v>
      </c>
    </row>
    <row r="1882" spans="1:14" x14ac:dyDescent="0.3">
      <c r="A1882" s="36" t="s">
        <v>37</v>
      </c>
      <c r="B1882" s="13">
        <v>117</v>
      </c>
      <c r="C1882" s="48" t="str">
        <f t="shared" si="73"/>
        <v>P.L. 117-167</v>
      </c>
      <c r="D1882" s="3" t="s">
        <v>3422</v>
      </c>
      <c r="E1882" s="3" t="s">
        <v>3481</v>
      </c>
      <c r="F1882" s="3" t="s">
        <v>3482</v>
      </c>
      <c r="G1882" s="49"/>
      <c r="H1882" s="46">
        <v>46295</v>
      </c>
      <c r="I1882" s="13">
        <v>2026</v>
      </c>
      <c r="J1882" s="47">
        <v>8000000</v>
      </c>
      <c r="K1882" s="16" t="s">
        <v>62</v>
      </c>
      <c r="L1882" s="3" t="s">
        <v>135</v>
      </c>
      <c r="M1882" s="3" t="s">
        <v>148</v>
      </c>
      <c r="N1882" s="3" t="s">
        <v>43</v>
      </c>
    </row>
    <row r="1883" spans="1:14" x14ac:dyDescent="0.3">
      <c r="A1883" s="36" t="s">
        <v>37</v>
      </c>
      <c r="B1883" s="13">
        <v>117</v>
      </c>
      <c r="C1883" s="48" t="str">
        <f t="shared" ref="C1883:C1910" si="74">HYPERLINK("https://uscode.house.gov/statutes/pl/117/167.pdf", "P.L. 117-167")</f>
        <v>P.L. 117-167</v>
      </c>
      <c r="D1883" s="3" t="s">
        <v>3422</v>
      </c>
      <c r="E1883" s="3" t="s">
        <v>3483</v>
      </c>
      <c r="F1883" s="3" t="s">
        <v>3484</v>
      </c>
      <c r="G1883" s="49"/>
      <c r="H1883" s="46">
        <v>46660</v>
      </c>
      <c r="I1883" s="13">
        <v>2027</v>
      </c>
      <c r="J1883" s="47">
        <v>3000000</v>
      </c>
      <c r="K1883" s="16" t="s">
        <v>62</v>
      </c>
      <c r="L1883" s="3" t="s">
        <v>135</v>
      </c>
      <c r="M1883" s="3" t="s">
        <v>148</v>
      </c>
      <c r="N1883" s="3" t="s">
        <v>43</v>
      </c>
    </row>
    <row r="1884" spans="1:14" x14ac:dyDescent="0.3">
      <c r="A1884" s="36" t="s">
        <v>37</v>
      </c>
      <c r="B1884" s="13">
        <v>117</v>
      </c>
      <c r="C1884" s="48" t="str">
        <f t="shared" si="74"/>
        <v>P.L. 117-167</v>
      </c>
      <c r="D1884" s="3" t="s">
        <v>3422</v>
      </c>
      <c r="E1884" s="3" t="s">
        <v>3485</v>
      </c>
      <c r="F1884" s="3" t="s">
        <v>3486</v>
      </c>
      <c r="G1884" s="49"/>
      <c r="H1884" s="46">
        <v>46660</v>
      </c>
      <c r="I1884" s="13">
        <v>2027</v>
      </c>
      <c r="J1884" s="47">
        <v>15000000</v>
      </c>
      <c r="K1884" s="16" t="s">
        <v>62</v>
      </c>
      <c r="L1884" s="3" t="s">
        <v>135</v>
      </c>
      <c r="M1884" s="3" t="s">
        <v>148</v>
      </c>
      <c r="N1884" s="3" t="s">
        <v>58</v>
      </c>
    </row>
    <row r="1885" spans="1:14" x14ac:dyDescent="0.3">
      <c r="A1885" s="36" t="s">
        <v>37</v>
      </c>
      <c r="B1885" s="13">
        <v>117</v>
      </c>
      <c r="C1885" s="48" t="str">
        <f t="shared" si="74"/>
        <v>P.L. 117-167</v>
      </c>
      <c r="D1885" s="3" t="s">
        <v>3422</v>
      </c>
      <c r="E1885" s="3" t="s">
        <v>3487</v>
      </c>
      <c r="F1885" s="3" t="s">
        <v>3488</v>
      </c>
      <c r="G1885" s="49"/>
      <c r="H1885" s="46">
        <v>46660</v>
      </c>
      <c r="I1885" s="13">
        <v>2027</v>
      </c>
      <c r="J1885" s="47">
        <v>1000000</v>
      </c>
      <c r="K1885" s="16" t="s">
        <v>62</v>
      </c>
      <c r="L1885" s="3" t="s">
        <v>135</v>
      </c>
      <c r="M1885" s="3" t="s">
        <v>148</v>
      </c>
      <c r="N1885" s="3" t="s">
        <v>58</v>
      </c>
    </row>
    <row r="1886" spans="1:14" x14ac:dyDescent="0.3">
      <c r="A1886" s="36" t="s">
        <v>37</v>
      </c>
      <c r="B1886" s="13">
        <v>117</v>
      </c>
      <c r="C1886" s="48" t="str">
        <f t="shared" si="74"/>
        <v>P.L. 117-167</v>
      </c>
      <c r="D1886" s="3" t="s">
        <v>3422</v>
      </c>
      <c r="E1886" s="3" t="s">
        <v>3489</v>
      </c>
      <c r="F1886" s="3" t="s">
        <v>3490</v>
      </c>
      <c r="G1886" s="49"/>
      <c r="H1886" s="46">
        <v>46660</v>
      </c>
      <c r="I1886" s="13">
        <v>2027</v>
      </c>
      <c r="J1886" s="47">
        <v>3000000</v>
      </c>
      <c r="K1886" s="16" t="s">
        <v>62</v>
      </c>
      <c r="L1886" s="3" t="s">
        <v>135</v>
      </c>
      <c r="M1886" s="3" t="s">
        <v>148</v>
      </c>
      <c r="N1886" s="3" t="s">
        <v>58</v>
      </c>
    </row>
    <row r="1887" spans="1:14" x14ac:dyDescent="0.3">
      <c r="A1887" s="36" t="s">
        <v>37</v>
      </c>
      <c r="B1887" s="13">
        <v>117</v>
      </c>
      <c r="C1887" s="48" t="str">
        <f t="shared" si="74"/>
        <v>P.L. 117-167</v>
      </c>
      <c r="D1887" s="3" t="s">
        <v>3422</v>
      </c>
      <c r="E1887" s="3" t="s">
        <v>3491</v>
      </c>
      <c r="F1887" s="3" t="s">
        <v>3492</v>
      </c>
      <c r="G1887" s="49"/>
      <c r="H1887" s="46">
        <v>45930</v>
      </c>
      <c r="I1887" s="13">
        <v>2025</v>
      </c>
      <c r="J1887" s="47">
        <v>1700000</v>
      </c>
      <c r="K1887" s="16" t="s">
        <v>62</v>
      </c>
      <c r="L1887" s="3" t="s">
        <v>135</v>
      </c>
      <c r="M1887" s="3" t="s">
        <v>148</v>
      </c>
      <c r="N1887" s="3" t="s">
        <v>58</v>
      </c>
    </row>
    <row r="1888" spans="1:14" x14ac:dyDescent="0.3">
      <c r="A1888" s="36" t="s">
        <v>37</v>
      </c>
      <c r="B1888" s="13">
        <v>117</v>
      </c>
      <c r="C1888" s="48" t="str">
        <f t="shared" si="74"/>
        <v>P.L. 117-167</v>
      </c>
      <c r="D1888" s="3" t="s">
        <v>3422</v>
      </c>
      <c r="E1888" s="3" t="s">
        <v>3493</v>
      </c>
      <c r="F1888" s="3" t="s">
        <v>3494</v>
      </c>
      <c r="G1888" s="49"/>
      <c r="H1888" s="46">
        <v>46660</v>
      </c>
      <c r="I1888" s="13">
        <v>2027</v>
      </c>
      <c r="J1888" s="47">
        <v>25000000</v>
      </c>
      <c r="K1888" s="16" t="s">
        <v>62</v>
      </c>
      <c r="L1888" s="3" t="s">
        <v>135</v>
      </c>
      <c r="M1888" s="3" t="s">
        <v>148</v>
      </c>
      <c r="N1888" s="3" t="s">
        <v>58</v>
      </c>
    </row>
    <row r="1889" spans="1:14" x14ac:dyDescent="0.3">
      <c r="A1889" s="36" t="s">
        <v>37</v>
      </c>
      <c r="B1889" s="13">
        <v>117</v>
      </c>
      <c r="C1889" s="48" t="str">
        <f t="shared" si="74"/>
        <v>P.L. 117-167</v>
      </c>
      <c r="D1889" s="3" t="s">
        <v>3422</v>
      </c>
      <c r="E1889" s="3" t="s">
        <v>3495</v>
      </c>
      <c r="F1889" s="3" t="s">
        <v>3496</v>
      </c>
      <c r="G1889" s="48" t="str">
        <f>HYPERLINK("https://uscode.house.gov/view.xhtml?req=granuleid:USC-prelim-title42-section16393&amp;num=0&amp;edition=prelim", "42 U.S.C. 16393(e)(c)")</f>
        <v>42 U.S.C. 16393(e)(c)</v>
      </c>
      <c r="H1889" s="46">
        <v>46660</v>
      </c>
      <c r="I1889" s="13">
        <v>2027</v>
      </c>
      <c r="J1889" s="47">
        <v>25000000</v>
      </c>
      <c r="K1889" s="16" t="s">
        <v>62</v>
      </c>
      <c r="L1889" s="3" t="s">
        <v>60</v>
      </c>
      <c r="M1889" s="3" t="s">
        <v>48</v>
      </c>
      <c r="N1889" s="3" t="s">
        <v>58</v>
      </c>
    </row>
    <row r="1890" spans="1:14" x14ac:dyDescent="0.3">
      <c r="A1890" s="36" t="s">
        <v>37</v>
      </c>
      <c r="B1890" s="13">
        <v>117</v>
      </c>
      <c r="C1890" s="48" t="str">
        <f t="shared" si="74"/>
        <v>P.L. 117-167</v>
      </c>
      <c r="D1890" s="3" t="s">
        <v>3422</v>
      </c>
      <c r="E1890" s="3" t="s">
        <v>3497</v>
      </c>
      <c r="F1890" s="3" t="s">
        <v>3498</v>
      </c>
      <c r="G1890" s="48" t="str">
        <f>HYPERLINK("https://uscode.house.gov/view.xhtml?req=granuleid:USC-prelim-title42-section16391&amp;num=0&amp;edition=prelim", "42 U.S.C. 16391(a)(7)")</f>
        <v>42 U.S.C. 16391(a)(7)</v>
      </c>
      <c r="H1890" s="46">
        <v>46660</v>
      </c>
      <c r="I1890" s="13">
        <v>2027</v>
      </c>
      <c r="J1890" s="47">
        <v>20000000</v>
      </c>
      <c r="K1890" s="16" t="s">
        <v>62</v>
      </c>
      <c r="L1890" s="3" t="s">
        <v>60</v>
      </c>
      <c r="M1890" s="3" t="s">
        <v>48</v>
      </c>
      <c r="N1890" s="3" t="s">
        <v>58</v>
      </c>
    </row>
    <row r="1891" spans="1:14" x14ac:dyDescent="0.3">
      <c r="A1891" s="36" t="s">
        <v>37</v>
      </c>
      <c r="B1891" s="13">
        <v>117</v>
      </c>
      <c r="C1891" s="48" t="str">
        <f t="shared" si="74"/>
        <v>P.L. 117-167</v>
      </c>
      <c r="D1891" s="3" t="s">
        <v>3422</v>
      </c>
      <c r="E1891" s="3" t="s">
        <v>3499</v>
      </c>
      <c r="F1891" s="3" t="s">
        <v>3500</v>
      </c>
      <c r="G1891" s="49"/>
      <c r="H1891" s="46">
        <v>46660</v>
      </c>
      <c r="I1891" s="13">
        <v>2027</v>
      </c>
      <c r="J1891" s="47">
        <v>100000000</v>
      </c>
      <c r="K1891" s="16" t="s">
        <v>62</v>
      </c>
      <c r="L1891" s="3" t="s">
        <v>135</v>
      </c>
      <c r="M1891" s="3" t="s">
        <v>148</v>
      </c>
      <c r="N1891" s="3" t="s">
        <v>58</v>
      </c>
    </row>
    <row r="1892" spans="1:14" x14ac:dyDescent="0.3">
      <c r="A1892" s="36" t="s">
        <v>37</v>
      </c>
      <c r="B1892" s="13">
        <v>117</v>
      </c>
      <c r="C1892" s="48" t="str">
        <f t="shared" si="74"/>
        <v>P.L. 117-167</v>
      </c>
      <c r="D1892" s="3" t="s">
        <v>3422</v>
      </c>
      <c r="E1892" s="3" t="s">
        <v>3501</v>
      </c>
      <c r="F1892" s="3" t="s">
        <v>3502</v>
      </c>
      <c r="G1892" s="48" t="str">
        <f>HYPERLINK("https://uscode.house.gov/view.xhtml?req=granuleid:USC-prelim-title42-section16274&amp;num=0&amp;edition=prelim", "42 U.S.C. 16274(a)(4b)")</f>
        <v>42 U.S.C. 16274(a)(4b)</v>
      </c>
      <c r="H1892" s="46">
        <v>46660</v>
      </c>
      <c r="I1892" s="13">
        <v>2027</v>
      </c>
      <c r="J1892" s="47">
        <v>55000000</v>
      </c>
      <c r="K1892" s="16" t="s">
        <v>62</v>
      </c>
      <c r="L1892" s="3" t="s">
        <v>60</v>
      </c>
      <c r="M1892" s="3" t="s">
        <v>48</v>
      </c>
      <c r="N1892" s="3" t="s">
        <v>58</v>
      </c>
    </row>
    <row r="1893" spans="1:14" x14ac:dyDescent="0.3">
      <c r="A1893" s="36" t="s">
        <v>37</v>
      </c>
      <c r="B1893" s="13">
        <v>117</v>
      </c>
      <c r="C1893" s="48" t="str">
        <f t="shared" si="74"/>
        <v>P.L. 117-167</v>
      </c>
      <c r="D1893" s="3" t="s">
        <v>3422</v>
      </c>
      <c r="E1893" s="3" t="s">
        <v>3503</v>
      </c>
      <c r="F1893" s="3" t="s">
        <v>3504</v>
      </c>
      <c r="G1893" s="48" t="str">
        <f>HYPERLINK("https://uscode.house.gov/view.xhtml?req=granuleid:USC-prelim-title42-section16274&amp;num=0&amp;edition=prelim", "42 U.S.C. 16274(a)(5(E))")</f>
        <v>42 U.S.C. 16274(a)(5(E))</v>
      </c>
      <c r="H1893" s="46">
        <v>46660</v>
      </c>
      <c r="I1893" s="13">
        <v>2027</v>
      </c>
      <c r="J1893" s="47">
        <v>140000000</v>
      </c>
      <c r="K1893" s="16" t="s">
        <v>62</v>
      </c>
      <c r="L1893" s="3" t="s">
        <v>60</v>
      </c>
      <c r="M1893" s="3" t="s">
        <v>48</v>
      </c>
      <c r="N1893" s="3" t="s">
        <v>58</v>
      </c>
    </row>
    <row r="1894" spans="1:14" x14ac:dyDescent="0.3">
      <c r="A1894" s="36" t="s">
        <v>37</v>
      </c>
      <c r="B1894" s="13">
        <v>117</v>
      </c>
      <c r="C1894" s="48" t="str">
        <f t="shared" si="74"/>
        <v>P.L. 117-167</v>
      </c>
      <c r="D1894" s="3" t="s">
        <v>3422</v>
      </c>
      <c r="E1894" s="3" t="s">
        <v>3505</v>
      </c>
      <c r="F1894" s="3" t="s">
        <v>3506</v>
      </c>
      <c r="G1894" s="48" t="str">
        <f>HYPERLINK("https://uscode.house.gov/view.xhtml?req=granuleid:USC-prelim-title42-section16274a&amp;num=0&amp;edition=prelim", "42 U.S.C. 16274a(d)(1)")</f>
        <v>42 U.S.C. 16274a(d)(1)</v>
      </c>
      <c r="H1894" s="46">
        <v>45930</v>
      </c>
      <c r="I1894" s="13">
        <v>2025</v>
      </c>
      <c r="J1894" s="47">
        <v>45000000</v>
      </c>
      <c r="K1894" s="16" t="s">
        <v>62</v>
      </c>
      <c r="L1894" s="3" t="s">
        <v>60</v>
      </c>
      <c r="M1894" s="3" t="s">
        <v>48</v>
      </c>
      <c r="N1894" s="3" t="s">
        <v>58</v>
      </c>
    </row>
    <row r="1895" spans="1:14" x14ac:dyDescent="0.3">
      <c r="A1895" s="36" t="s">
        <v>37</v>
      </c>
      <c r="B1895" s="13">
        <v>117</v>
      </c>
      <c r="C1895" s="48" t="str">
        <f t="shared" si="74"/>
        <v>P.L. 117-167</v>
      </c>
      <c r="D1895" s="3" t="s">
        <v>3422</v>
      </c>
      <c r="E1895" s="3" t="s">
        <v>3507</v>
      </c>
      <c r="F1895" s="3" t="s">
        <v>3508</v>
      </c>
      <c r="G1895" s="49"/>
      <c r="H1895" s="46">
        <v>46660</v>
      </c>
      <c r="I1895" s="13">
        <v>2027</v>
      </c>
      <c r="J1895" s="47">
        <v>800000000</v>
      </c>
      <c r="K1895" s="16" t="s">
        <v>62</v>
      </c>
      <c r="L1895" s="3" t="s">
        <v>60</v>
      </c>
      <c r="M1895" s="3" t="s">
        <v>48</v>
      </c>
      <c r="N1895" s="3" t="s">
        <v>58</v>
      </c>
    </row>
    <row r="1896" spans="1:14" x14ac:dyDescent="0.3">
      <c r="A1896" s="36" t="s">
        <v>37</v>
      </c>
      <c r="B1896" s="13">
        <v>117</v>
      </c>
      <c r="C1896" s="48" t="str">
        <f t="shared" si="74"/>
        <v>P.L. 117-167</v>
      </c>
      <c r="D1896" s="3" t="s">
        <v>3422</v>
      </c>
      <c r="E1896" s="3" t="s">
        <v>3509</v>
      </c>
      <c r="F1896" s="3" t="s">
        <v>3510</v>
      </c>
      <c r="G1896" s="49"/>
      <c r="H1896" s="46">
        <v>46295</v>
      </c>
      <c r="I1896" s="13">
        <v>2026</v>
      </c>
      <c r="J1896" s="16" t="s">
        <v>12</v>
      </c>
      <c r="K1896" s="16" t="s">
        <v>62</v>
      </c>
      <c r="L1896" s="3" t="s">
        <v>60</v>
      </c>
      <c r="M1896" s="3" t="s">
        <v>48</v>
      </c>
      <c r="N1896" s="3" t="s">
        <v>58</v>
      </c>
    </row>
    <row r="1897" spans="1:14" x14ac:dyDescent="0.3">
      <c r="A1897" s="36" t="s">
        <v>37</v>
      </c>
      <c r="B1897" s="13">
        <v>117</v>
      </c>
      <c r="C1897" s="48" t="str">
        <f t="shared" si="74"/>
        <v>P.L. 117-167</v>
      </c>
      <c r="D1897" s="3" t="s">
        <v>3422</v>
      </c>
      <c r="E1897" s="3" t="s">
        <v>3511</v>
      </c>
      <c r="F1897" s="3" t="s">
        <v>3512</v>
      </c>
      <c r="G1897" s="49"/>
      <c r="H1897" s="46">
        <v>46295</v>
      </c>
      <c r="I1897" s="13">
        <v>2026</v>
      </c>
      <c r="J1897" s="16" t="s">
        <v>12</v>
      </c>
      <c r="K1897" s="16" t="s">
        <v>62</v>
      </c>
      <c r="L1897" s="3" t="s">
        <v>60</v>
      </c>
      <c r="M1897" s="3" t="s">
        <v>48</v>
      </c>
      <c r="N1897" s="3" t="s">
        <v>58</v>
      </c>
    </row>
    <row r="1898" spans="1:14" x14ac:dyDescent="0.3">
      <c r="A1898" s="36" t="s">
        <v>37</v>
      </c>
      <c r="B1898" s="13">
        <v>117</v>
      </c>
      <c r="C1898" s="48" t="str">
        <f t="shared" si="74"/>
        <v>P.L. 117-167</v>
      </c>
      <c r="D1898" s="3" t="s">
        <v>3422</v>
      </c>
      <c r="E1898" s="3" t="s">
        <v>3511</v>
      </c>
      <c r="F1898" s="3" t="s">
        <v>3513</v>
      </c>
      <c r="G1898" s="49"/>
      <c r="H1898" s="46">
        <v>46295</v>
      </c>
      <c r="I1898" s="13">
        <v>2026</v>
      </c>
      <c r="J1898" s="16" t="s">
        <v>12</v>
      </c>
      <c r="K1898" s="16" t="s">
        <v>62</v>
      </c>
      <c r="L1898" s="3" t="s">
        <v>60</v>
      </c>
      <c r="M1898" s="3" t="s">
        <v>48</v>
      </c>
      <c r="N1898" s="3" t="s">
        <v>58</v>
      </c>
    </row>
    <row r="1899" spans="1:14" x14ac:dyDescent="0.3">
      <c r="A1899" s="36" t="s">
        <v>37</v>
      </c>
      <c r="B1899" s="13">
        <v>117</v>
      </c>
      <c r="C1899" s="48" t="str">
        <f t="shared" si="74"/>
        <v>P.L. 117-167</v>
      </c>
      <c r="D1899" s="3" t="s">
        <v>3422</v>
      </c>
      <c r="E1899" s="3" t="s">
        <v>3514</v>
      </c>
      <c r="F1899" s="3" t="s">
        <v>3515</v>
      </c>
      <c r="G1899" s="49"/>
      <c r="H1899" s="46">
        <v>46295</v>
      </c>
      <c r="I1899" s="13">
        <v>2026</v>
      </c>
      <c r="J1899" s="16" t="s">
        <v>12</v>
      </c>
      <c r="K1899" s="16" t="s">
        <v>62</v>
      </c>
      <c r="L1899" s="3" t="s">
        <v>60</v>
      </c>
      <c r="M1899" s="3" t="s">
        <v>48</v>
      </c>
      <c r="N1899" s="3" t="s">
        <v>58</v>
      </c>
    </row>
    <row r="1900" spans="1:14" x14ac:dyDescent="0.3">
      <c r="A1900" s="36" t="s">
        <v>37</v>
      </c>
      <c r="B1900" s="13">
        <v>117</v>
      </c>
      <c r="C1900" s="48" t="str">
        <f t="shared" si="74"/>
        <v>P.L. 117-167</v>
      </c>
      <c r="D1900" s="3" t="s">
        <v>3422</v>
      </c>
      <c r="E1900" s="3" t="s">
        <v>3516</v>
      </c>
      <c r="F1900" s="3" t="s">
        <v>3517</v>
      </c>
      <c r="G1900" s="49"/>
      <c r="H1900" s="46">
        <v>46295</v>
      </c>
      <c r="I1900" s="13">
        <v>2026</v>
      </c>
      <c r="J1900" s="16" t="s">
        <v>12</v>
      </c>
      <c r="K1900" s="16" t="s">
        <v>62</v>
      </c>
      <c r="L1900" s="3" t="s">
        <v>60</v>
      </c>
      <c r="M1900" s="3" t="s">
        <v>48</v>
      </c>
      <c r="N1900" s="3" t="s">
        <v>58</v>
      </c>
    </row>
    <row r="1901" spans="1:14" x14ac:dyDescent="0.3">
      <c r="A1901" s="36" t="s">
        <v>37</v>
      </c>
      <c r="B1901" s="13">
        <v>117</v>
      </c>
      <c r="C1901" s="48" t="str">
        <f t="shared" si="74"/>
        <v>P.L. 117-167</v>
      </c>
      <c r="D1901" s="3" t="s">
        <v>3422</v>
      </c>
      <c r="E1901" s="3" t="s">
        <v>3518</v>
      </c>
      <c r="F1901" s="3" t="s">
        <v>3519</v>
      </c>
      <c r="G1901" s="49"/>
      <c r="H1901" s="46">
        <v>46295</v>
      </c>
      <c r="I1901" s="13">
        <v>2026</v>
      </c>
      <c r="J1901" s="16" t="s">
        <v>12</v>
      </c>
      <c r="K1901" s="16" t="s">
        <v>62</v>
      </c>
      <c r="L1901" s="3" t="s">
        <v>60</v>
      </c>
      <c r="M1901" s="3" t="s">
        <v>48</v>
      </c>
      <c r="N1901" s="3" t="s">
        <v>58</v>
      </c>
    </row>
    <row r="1902" spans="1:14" x14ac:dyDescent="0.3">
      <c r="A1902" s="36" t="s">
        <v>37</v>
      </c>
      <c r="B1902" s="13">
        <v>117</v>
      </c>
      <c r="C1902" s="48" t="str">
        <f t="shared" si="74"/>
        <v>P.L. 117-167</v>
      </c>
      <c r="D1902" s="3" t="s">
        <v>3422</v>
      </c>
      <c r="E1902" s="3" t="s">
        <v>3520</v>
      </c>
      <c r="F1902" s="3" t="s">
        <v>3521</v>
      </c>
      <c r="G1902" s="49"/>
      <c r="H1902" s="46">
        <v>46295</v>
      </c>
      <c r="I1902" s="13">
        <v>2026</v>
      </c>
      <c r="J1902" s="16" t="s">
        <v>12</v>
      </c>
      <c r="K1902" s="16" t="s">
        <v>62</v>
      </c>
      <c r="L1902" s="3" t="s">
        <v>60</v>
      </c>
      <c r="M1902" s="3" t="s">
        <v>48</v>
      </c>
      <c r="N1902" s="3" t="s">
        <v>58</v>
      </c>
    </row>
    <row r="1903" spans="1:14" x14ac:dyDescent="0.3">
      <c r="A1903" s="36" t="s">
        <v>37</v>
      </c>
      <c r="B1903" s="13">
        <v>117</v>
      </c>
      <c r="C1903" s="48" t="str">
        <f t="shared" si="74"/>
        <v>P.L. 117-167</v>
      </c>
      <c r="D1903" s="3" t="s">
        <v>3422</v>
      </c>
      <c r="E1903" s="3" t="s">
        <v>3522</v>
      </c>
      <c r="F1903" s="3" t="s">
        <v>3523</v>
      </c>
      <c r="G1903" s="49"/>
      <c r="H1903" s="46">
        <v>46295</v>
      </c>
      <c r="I1903" s="13">
        <v>2026</v>
      </c>
      <c r="J1903" s="16" t="s">
        <v>12</v>
      </c>
      <c r="K1903" s="16" t="s">
        <v>62</v>
      </c>
      <c r="L1903" s="3" t="s">
        <v>60</v>
      </c>
      <c r="M1903" s="3" t="s">
        <v>48</v>
      </c>
      <c r="N1903" s="3" t="s">
        <v>58</v>
      </c>
    </row>
    <row r="1904" spans="1:14" x14ac:dyDescent="0.3">
      <c r="A1904" s="36" t="s">
        <v>37</v>
      </c>
      <c r="B1904" s="13">
        <v>117</v>
      </c>
      <c r="C1904" s="48" t="str">
        <f t="shared" si="74"/>
        <v>P.L. 117-167</v>
      </c>
      <c r="D1904" s="3" t="s">
        <v>3422</v>
      </c>
      <c r="E1904" s="3" t="s">
        <v>3524</v>
      </c>
      <c r="F1904" s="3" t="s">
        <v>3525</v>
      </c>
      <c r="G1904" s="49"/>
      <c r="H1904" s="46">
        <v>46295</v>
      </c>
      <c r="I1904" s="13">
        <v>2026</v>
      </c>
      <c r="J1904" s="16" t="s">
        <v>12</v>
      </c>
      <c r="K1904" s="16" t="s">
        <v>62</v>
      </c>
      <c r="L1904" s="3" t="s">
        <v>60</v>
      </c>
      <c r="M1904" s="3" t="s">
        <v>48</v>
      </c>
      <c r="N1904" s="3" t="s">
        <v>58</v>
      </c>
    </row>
    <row r="1905" spans="1:14" x14ac:dyDescent="0.3">
      <c r="A1905" s="36" t="s">
        <v>37</v>
      </c>
      <c r="B1905" s="13">
        <v>117</v>
      </c>
      <c r="C1905" s="48" t="str">
        <f t="shared" si="74"/>
        <v>P.L. 117-167</v>
      </c>
      <c r="D1905" s="3" t="s">
        <v>3422</v>
      </c>
      <c r="E1905" s="3" t="s">
        <v>3526</v>
      </c>
      <c r="F1905" s="3" t="s">
        <v>3527</v>
      </c>
      <c r="G1905" s="49"/>
      <c r="H1905" s="46">
        <v>46295</v>
      </c>
      <c r="I1905" s="13">
        <v>2026</v>
      </c>
      <c r="J1905" s="16" t="s">
        <v>12</v>
      </c>
      <c r="K1905" s="16" t="s">
        <v>62</v>
      </c>
      <c r="L1905" s="3" t="s">
        <v>60</v>
      </c>
      <c r="M1905" s="3" t="s">
        <v>48</v>
      </c>
      <c r="N1905" s="3" t="s">
        <v>58</v>
      </c>
    </row>
    <row r="1906" spans="1:14" x14ac:dyDescent="0.3">
      <c r="A1906" s="36" t="s">
        <v>37</v>
      </c>
      <c r="B1906" s="13">
        <v>117</v>
      </c>
      <c r="C1906" s="48" t="str">
        <f t="shared" si="74"/>
        <v>P.L. 117-167</v>
      </c>
      <c r="D1906" s="3" t="s">
        <v>3422</v>
      </c>
      <c r="E1906" s="3" t="s">
        <v>3528</v>
      </c>
      <c r="F1906" s="3" t="s">
        <v>3529</v>
      </c>
      <c r="G1906" s="49"/>
      <c r="H1906" s="46">
        <v>46295</v>
      </c>
      <c r="I1906" s="13">
        <v>2026</v>
      </c>
      <c r="J1906" s="16" t="s">
        <v>12</v>
      </c>
      <c r="K1906" s="16" t="s">
        <v>62</v>
      </c>
      <c r="L1906" s="3" t="s">
        <v>60</v>
      </c>
      <c r="M1906" s="3" t="s">
        <v>48</v>
      </c>
      <c r="N1906" s="3" t="s">
        <v>58</v>
      </c>
    </row>
    <row r="1907" spans="1:14" x14ac:dyDescent="0.3">
      <c r="A1907" s="36" t="s">
        <v>37</v>
      </c>
      <c r="B1907" s="13">
        <v>117</v>
      </c>
      <c r="C1907" s="48" t="str">
        <f t="shared" si="74"/>
        <v>P.L. 117-167</v>
      </c>
      <c r="D1907" s="3" t="s">
        <v>3422</v>
      </c>
      <c r="E1907" s="3" t="s">
        <v>3530</v>
      </c>
      <c r="F1907" s="3" t="s">
        <v>3531</v>
      </c>
      <c r="G1907" s="49"/>
      <c r="H1907" s="46">
        <v>46295</v>
      </c>
      <c r="I1907" s="13">
        <v>2026</v>
      </c>
      <c r="J1907" s="16" t="s">
        <v>12</v>
      </c>
      <c r="K1907" s="16" t="s">
        <v>62</v>
      </c>
      <c r="L1907" s="3" t="s">
        <v>60</v>
      </c>
      <c r="M1907" s="3" t="s">
        <v>48</v>
      </c>
      <c r="N1907" s="3" t="s">
        <v>58</v>
      </c>
    </row>
    <row r="1908" spans="1:14" x14ac:dyDescent="0.3">
      <c r="A1908" s="36" t="s">
        <v>37</v>
      </c>
      <c r="B1908" s="13">
        <v>117</v>
      </c>
      <c r="C1908" s="48" t="str">
        <f t="shared" si="74"/>
        <v>P.L. 117-167</v>
      </c>
      <c r="D1908" s="3" t="s">
        <v>3422</v>
      </c>
      <c r="E1908" s="3" t="s">
        <v>3532</v>
      </c>
      <c r="F1908" s="3" t="s">
        <v>3533</v>
      </c>
      <c r="G1908" s="49"/>
      <c r="H1908" s="46">
        <v>46295</v>
      </c>
      <c r="I1908" s="13">
        <v>2026</v>
      </c>
      <c r="J1908" s="16" t="s">
        <v>12</v>
      </c>
      <c r="K1908" s="16" t="s">
        <v>62</v>
      </c>
      <c r="L1908" s="3" t="s">
        <v>60</v>
      </c>
      <c r="M1908" s="3" t="s">
        <v>48</v>
      </c>
      <c r="N1908" s="3" t="s">
        <v>58</v>
      </c>
    </row>
    <row r="1909" spans="1:14" x14ac:dyDescent="0.3">
      <c r="A1909" s="36" t="s">
        <v>37</v>
      </c>
      <c r="B1909" s="13">
        <v>117</v>
      </c>
      <c r="C1909" s="48" t="str">
        <f t="shared" si="74"/>
        <v>P.L. 117-167</v>
      </c>
      <c r="D1909" s="3" t="s">
        <v>3422</v>
      </c>
      <c r="E1909" s="3" t="s">
        <v>3534</v>
      </c>
      <c r="F1909" s="3" t="s">
        <v>3535</v>
      </c>
      <c r="G1909" s="49"/>
      <c r="H1909" s="46">
        <v>46295</v>
      </c>
      <c r="I1909" s="13">
        <v>2026</v>
      </c>
      <c r="J1909" s="16" t="s">
        <v>12</v>
      </c>
      <c r="K1909" s="16" t="s">
        <v>62</v>
      </c>
      <c r="L1909" s="3" t="s">
        <v>60</v>
      </c>
      <c r="M1909" s="3" t="s">
        <v>48</v>
      </c>
      <c r="N1909" s="3" t="s">
        <v>58</v>
      </c>
    </row>
    <row r="1910" spans="1:14" x14ac:dyDescent="0.3">
      <c r="A1910" s="36" t="s">
        <v>37</v>
      </c>
      <c r="B1910" s="13">
        <v>117</v>
      </c>
      <c r="C1910" s="48" t="str">
        <f t="shared" si="74"/>
        <v>P.L. 117-167</v>
      </c>
      <c r="D1910" s="3" t="s">
        <v>3422</v>
      </c>
      <c r="E1910" s="3" t="s">
        <v>3536</v>
      </c>
      <c r="F1910" s="3" t="s">
        <v>3537</v>
      </c>
      <c r="G1910" s="49"/>
      <c r="H1910" s="46">
        <v>46660</v>
      </c>
      <c r="I1910" s="13">
        <v>2027</v>
      </c>
      <c r="J1910" s="47">
        <v>250000000</v>
      </c>
      <c r="K1910" s="16" t="s">
        <v>62</v>
      </c>
      <c r="L1910" s="3" t="s">
        <v>60</v>
      </c>
      <c r="M1910" s="3" t="s">
        <v>48</v>
      </c>
      <c r="N1910" s="3" t="s">
        <v>58</v>
      </c>
    </row>
    <row r="1911" spans="1:14" x14ac:dyDescent="0.3">
      <c r="A1911" s="36" t="s">
        <v>37</v>
      </c>
      <c r="B1911" s="13">
        <v>117</v>
      </c>
      <c r="C1911" s="48" t="str">
        <f>HYPERLINK("https://uscode.house.gov/statutes/pl/117/168.pdf", "P.L. 117-168")</f>
        <v>P.L. 117-168</v>
      </c>
      <c r="D1911" s="3" t="s">
        <v>3538</v>
      </c>
      <c r="E1911" s="3" t="s">
        <v>3539</v>
      </c>
      <c r="F1911" s="3" t="s">
        <v>3540</v>
      </c>
      <c r="G1911" s="48" t="str">
        <f>HYPERLINK("https://uscode.house.gov/view.xhtml?req=granuleid:USC-prelim-title38-section8104&amp;num=0&amp;edition=prelim", "38 U.S.C. 8104")</f>
        <v>38 U.S.C. 8104</v>
      </c>
      <c r="H1911" s="46">
        <v>45199</v>
      </c>
      <c r="I1911" s="13">
        <v>2023</v>
      </c>
      <c r="J1911" s="16" t="s">
        <v>12</v>
      </c>
      <c r="K1911" s="16" t="s">
        <v>62</v>
      </c>
      <c r="L1911" s="3" t="s">
        <v>265</v>
      </c>
      <c r="M1911" s="3" t="s">
        <v>266</v>
      </c>
      <c r="N1911" s="3" t="s">
        <v>267</v>
      </c>
    </row>
    <row r="1912" spans="1:14" x14ac:dyDescent="0.3">
      <c r="A1912" s="36" t="s">
        <v>37</v>
      </c>
      <c r="B1912" s="13">
        <v>117</v>
      </c>
      <c r="C1912" s="48" t="str">
        <f>HYPERLINK("https://uscode.house.gov/statutes/pl/117/170.pdf", "P.L. 117-170")</f>
        <v>P.L. 117-170</v>
      </c>
      <c r="D1912" s="3" t="s">
        <v>3541</v>
      </c>
      <c r="E1912" s="3" t="s">
        <v>296</v>
      </c>
      <c r="F1912" s="3" t="s">
        <v>3542</v>
      </c>
      <c r="G1912" s="48" t="str">
        <f>HYPERLINK("https://uscode.house.gov/view.xhtml?req=granuleid:USC-prelim-title34-section10651&amp;num=0&amp;edition=prelim", "34 U.S.C. 10651(o)(1)")</f>
        <v>34 U.S.C. 10651(o)(1)</v>
      </c>
      <c r="H1912" s="46">
        <v>46660</v>
      </c>
      <c r="I1912" s="13">
        <v>2027</v>
      </c>
      <c r="J1912" s="47">
        <v>54000000</v>
      </c>
      <c r="K1912" s="16" t="s">
        <v>62</v>
      </c>
      <c r="L1912" s="3" t="s">
        <v>41</v>
      </c>
      <c r="M1912" s="3" t="s">
        <v>42</v>
      </c>
      <c r="N1912" s="3" t="s">
        <v>43</v>
      </c>
    </row>
    <row r="1913" spans="1:14" x14ac:dyDescent="0.3">
      <c r="A1913" s="36" t="s">
        <v>37</v>
      </c>
      <c r="B1913" s="13">
        <v>117</v>
      </c>
      <c r="C1913" s="48" t="str">
        <f t="shared" ref="C1913:C1919" si="75">HYPERLINK("https://uscode.house.gov/statutes/pl/117/180.pdf", "P.L. 117-180")</f>
        <v>P.L. 117-180</v>
      </c>
      <c r="D1913" s="3" t="s">
        <v>3543</v>
      </c>
      <c r="E1913" s="3" t="s">
        <v>3544</v>
      </c>
      <c r="F1913" s="3" t="s">
        <v>3545</v>
      </c>
      <c r="G1913" s="48" t="str">
        <f>HYPERLINK("https://uscode.house.gov/view.xhtml?req=granuleid:USC-prelim-title38-section2021A&amp;num=0&amp;edition=prelim", "38 U.S.C. 2021A(f)(1)")</f>
        <v>38 U.S.C. 2021A(f)(1)</v>
      </c>
      <c r="H1913" s="46">
        <v>45565</v>
      </c>
      <c r="I1913" s="13">
        <v>2024</v>
      </c>
      <c r="J1913" s="47">
        <v>1000000</v>
      </c>
      <c r="K1913" s="16" t="s">
        <v>62</v>
      </c>
      <c r="L1913" s="3" t="s">
        <v>265</v>
      </c>
      <c r="M1913" s="3" t="s">
        <v>266</v>
      </c>
      <c r="N1913" s="3" t="s">
        <v>267</v>
      </c>
    </row>
    <row r="1914" spans="1:14" x14ac:dyDescent="0.3">
      <c r="A1914" s="36" t="s">
        <v>37</v>
      </c>
      <c r="B1914" s="13">
        <v>117</v>
      </c>
      <c r="C1914" s="48" t="str">
        <f t="shared" si="75"/>
        <v>P.L. 117-180</v>
      </c>
      <c r="D1914" s="3" t="s">
        <v>3543</v>
      </c>
      <c r="E1914" s="3" t="s">
        <v>3546</v>
      </c>
      <c r="F1914" s="3" t="s">
        <v>3547</v>
      </c>
      <c r="G1914" s="48" t="str">
        <f>HYPERLINK("https://uscode.house.gov/view.xhtml?req=granuleid:USC-prelim-title38-section322&amp;num=0&amp;edition=prelim", "38 U.S.C. 322(d)(4)")</f>
        <v>38 U.S.C. 322(d)(4)</v>
      </c>
      <c r="H1914" s="46">
        <v>46295</v>
      </c>
      <c r="I1914" s="13">
        <v>2026</v>
      </c>
      <c r="J1914" s="47">
        <v>2000000</v>
      </c>
      <c r="K1914" s="16" t="s">
        <v>62</v>
      </c>
      <c r="L1914" s="3" t="s">
        <v>265</v>
      </c>
      <c r="M1914" s="3" t="s">
        <v>266</v>
      </c>
      <c r="N1914" s="3" t="s">
        <v>267</v>
      </c>
    </row>
    <row r="1915" spans="1:14" x14ac:dyDescent="0.3">
      <c r="A1915" s="36" t="s">
        <v>37</v>
      </c>
      <c r="B1915" s="13">
        <v>117</v>
      </c>
      <c r="C1915" s="48" t="str">
        <f t="shared" si="75"/>
        <v>P.L. 117-180</v>
      </c>
      <c r="D1915" s="3" t="s">
        <v>3543</v>
      </c>
      <c r="E1915" s="3" t="s">
        <v>3548</v>
      </c>
      <c r="F1915" s="3" t="s">
        <v>3549</v>
      </c>
      <c r="G1915" s="48" t="str">
        <f>HYPERLINK("https://uscode.house.gov/view.xhtml?req=granuleid:USC-prelim-title38-section521A&amp;num=0&amp;edition=prelim", "38 U.S.C. 521A(g)(1)")</f>
        <v>38 U.S.C. 521A(g)(1)</v>
      </c>
      <c r="H1915" s="46">
        <v>46295</v>
      </c>
      <c r="I1915" s="13">
        <v>2026</v>
      </c>
      <c r="J1915" s="47">
        <v>16000000</v>
      </c>
      <c r="K1915" s="16" t="s">
        <v>62</v>
      </c>
      <c r="L1915" s="3" t="s">
        <v>265</v>
      </c>
      <c r="M1915" s="3" t="s">
        <v>266</v>
      </c>
      <c r="N1915" s="3" t="s">
        <v>267</v>
      </c>
    </row>
    <row r="1916" spans="1:14" x14ac:dyDescent="0.3">
      <c r="A1916" s="36" t="s">
        <v>37</v>
      </c>
      <c r="B1916" s="13">
        <v>117</v>
      </c>
      <c r="C1916" s="48" t="str">
        <f t="shared" si="75"/>
        <v>P.L. 117-180</v>
      </c>
      <c r="D1916" s="3" t="s">
        <v>3543</v>
      </c>
      <c r="E1916" s="3" t="s">
        <v>3550</v>
      </c>
      <c r="F1916" s="3" t="s">
        <v>3551</v>
      </c>
      <c r="G1916" s="49"/>
      <c r="H1916" s="46">
        <v>46660</v>
      </c>
      <c r="I1916" s="13">
        <v>2027</v>
      </c>
      <c r="J1916" s="16" t="s">
        <v>12</v>
      </c>
      <c r="K1916" s="16" t="s">
        <v>62</v>
      </c>
      <c r="L1916" s="3" t="s">
        <v>60</v>
      </c>
      <c r="M1916" s="3" t="s">
        <v>71</v>
      </c>
      <c r="N1916" s="3" t="s">
        <v>406</v>
      </c>
    </row>
    <row r="1917" spans="1:14" x14ac:dyDescent="0.3">
      <c r="A1917" s="36" t="s">
        <v>37</v>
      </c>
      <c r="B1917" s="13">
        <v>117</v>
      </c>
      <c r="C1917" s="48" t="str">
        <f t="shared" si="75"/>
        <v>P.L. 117-180</v>
      </c>
      <c r="D1917" s="3" t="s">
        <v>3543</v>
      </c>
      <c r="E1917" s="3" t="s">
        <v>3552</v>
      </c>
      <c r="F1917" s="3" t="s">
        <v>3553</v>
      </c>
      <c r="G1917" s="49"/>
      <c r="H1917" s="46">
        <v>46660</v>
      </c>
      <c r="I1917" s="13">
        <v>2027</v>
      </c>
      <c r="J1917" s="16" t="s">
        <v>12</v>
      </c>
      <c r="K1917" s="16" t="s">
        <v>62</v>
      </c>
      <c r="L1917" s="3" t="s">
        <v>60</v>
      </c>
      <c r="M1917" s="3" t="s">
        <v>71</v>
      </c>
      <c r="N1917" s="3" t="s">
        <v>406</v>
      </c>
    </row>
    <row r="1918" spans="1:14" x14ac:dyDescent="0.3">
      <c r="A1918" s="36" t="s">
        <v>37</v>
      </c>
      <c r="B1918" s="13">
        <v>117</v>
      </c>
      <c r="C1918" s="48" t="str">
        <f t="shared" si="75"/>
        <v>P.L. 117-180</v>
      </c>
      <c r="D1918" s="3" t="s">
        <v>3543</v>
      </c>
      <c r="E1918" s="3" t="s">
        <v>3554</v>
      </c>
      <c r="F1918" s="3" t="s">
        <v>3555</v>
      </c>
      <c r="G1918" s="49"/>
      <c r="H1918" s="46">
        <v>46660</v>
      </c>
      <c r="I1918" s="13">
        <v>2027</v>
      </c>
      <c r="J1918" s="16" t="s">
        <v>12</v>
      </c>
      <c r="K1918" s="16" t="s">
        <v>62</v>
      </c>
      <c r="L1918" s="3" t="s">
        <v>60</v>
      </c>
      <c r="M1918" s="3" t="s">
        <v>71</v>
      </c>
      <c r="N1918" s="3" t="s">
        <v>406</v>
      </c>
    </row>
    <row r="1919" spans="1:14" x14ac:dyDescent="0.3">
      <c r="A1919" s="36" t="s">
        <v>37</v>
      </c>
      <c r="B1919" s="13">
        <v>117</v>
      </c>
      <c r="C1919" s="48" t="str">
        <f t="shared" si="75"/>
        <v>P.L. 117-180</v>
      </c>
      <c r="D1919" s="3" t="s">
        <v>3543</v>
      </c>
      <c r="E1919" s="3" t="s">
        <v>3556</v>
      </c>
      <c r="F1919" s="3" t="s">
        <v>3557</v>
      </c>
      <c r="G1919" s="49"/>
      <c r="H1919" s="46">
        <v>46660</v>
      </c>
      <c r="I1919" s="13">
        <v>2027</v>
      </c>
      <c r="J1919" s="16" t="s">
        <v>12</v>
      </c>
      <c r="K1919" s="16" t="s">
        <v>62</v>
      </c>
      <c r="L1919" s="3" t="s">
        <v>60</v>
      </c>
      <c r="M1919" s="3" t="s">
        <v>71</v>
      </c>
      <c r="N1919" s="3" t="s">
        <v>406</v>
      </c>
    </row>
    <row r="1920" spans="1:14" x14ac:dyDescent="0.3">
      <c r="A1920" s="36" t="s">
        <v>37</v>
      </c>
      <c r="B1920" s="13">
        <v>117</v>
      </c>
      <c r="C1920" s="48" t="str">
        <f>HYPERLINK("https://uscode.house.gov/statutes/pl/117/181.pdf", "P.L. 117-181")</f>
        <v>P.L. 117-181</v>
      </c>
      <c r="D1920" s="3" t="s">
        <v>3558</v>
      </c>
      <c r="F1920" s="3" t="s">
        <v>3559</v>
      </c>
      <c r="G1920" s="48" t="str">
        <f>HYPERLINK("https://uscode.house.gov/view.xhtml?req=granuleid:USC-prelim-title22-section6435&amp;num=0&amp;edition=prelim", "22 U.S.C. 6435(a)")</f>
        <v>22 U.S.C. 6435(a)</v>
      </c>
      <c r="H1920" s="46">
        <v>45565</v>
      </c>
      <c r="I1920" s="13">
        <v>2024</v>
      </c>
      <c r="J1920" s="47">
        <v>3500000</v>
      </c>
      <c r="K1920" s="16" t="s">
        <v>62</v>
      </c>
      <c r="L1920" s="3" t="s">
        <v>80</v>
      </c>
      <c r="M1920" s="3" t="s">
        <v>81</v>
      </c>
      <c r="N1920" s="3" t="s">
        <v>82</v>
      </c>
    </row>
    <row r="1921" spans="1:14" x14ac:dyDescent="0.3">
      <c r="A1921" s="36" t="s">
        <v>37</v>
      </c>
      <c r="B1921" s="13">
        <v>117</v>
      </c>
      <c r="C1921" s="48" t="str">
        <f>HYPERLINK("https://uscode.house.gov/statutes/pl/117/241.pdf", "P.L. 117-241")</f>
        <v>P.L. 117-241</v>
      </c>
      <c r="D1921" s="3" t="s">
        <v>3560</v>
      </c>
      <c r="E1921" s="3" t="s">
        <v>3561</v>
      </c>
      <c r="F1921" s="3" t="s">
        <v>3562</v>
      </c>
      <c r="G1921" s="48" t="str">
        <f>HYPERLINK("https://uscode.house.gov/view.xhtml?req=granuleid:USC-prelim-title42-section280g-1&amp;num=0&amp;edition=prelim", "42 U.S.C. 280g-1(f)(1)")</f>
        <v>42 U.S.C. 280g-1(f)(1)</v>
      </c>
      <c r="H1921" s="46">
        <v>46660</v>
      </c>
      <c r="I1921" s="13">
        <v>2027</v>
      </c>
      <c r="J1921" s="47">
        <v>17818000</v>
      </c>
      <c r="K1921" s="16" t="s">
        <v>62</v>
      </c>
      <c r="L1921" s="3" t="s">
        <v>60</v>
      </c>
      <c r="M1921" s="3" t="s">
        <v>71</v>
      </c>
      <c r="N1921" s="3" t="s">
        <v>72</v>
      </c>
    </row>
    <row r="1922" spans="1:14" x14ac:dyDescent="0.3">
      <c r="A1922" s="36" t="s">
        <v>37</v>
      </c>
      <c r="B1922" s="13">
        <v>117</v>
      </c>
      <c r="C1922" s="48" t="str">
        <f>HYPERLINK("https://uscode.house.gov/statutes/pl/117/241.pdf", "P.L. 117-241")</f>
        <v>P.L. 117-241</v>
      </c>
      <c r="D1922" s="3" t="s">
        <v>3560</v>
      </c>
      <c r="E1922" s="3" t="s">
        <v>3563</v>
      </c>
      <c r="F1922" s="3" t="s">
        <v>3564</v>
      </c>
      <c r="G1922" s="48" t="str">
        <f>HYPERLINK("https://uscode.house.gov/view.xhtml?req=granuleid:USC-prelim-title42-section280g-1&amp;num=0&amp;edition=prelim", "42 U.S.C. 280g-1(f)(2)")</f>
        <v>42 U.S.C. 280g-1(f)(2)</v>
      </c>
      <c r="H1922" s="46">
        <v>46660</v>
      </c>
      <c r="I1922" s="13">
        <v>2027</v>
      </c>
      <c r="J1922" s="47">
        <v>10760000</v>
      </c>
      <c r="K1922" s="16" t="s">
        <v>62</v>
      </c>
      <c r="L1922" s="3" t="s">
        <v>60</v>
      </c>
      <c r="M1922" s="3" t="s">
        <v>71</v>
      </c>
      <c r="N1922" s="3" t="s">
        <v>72</v>
      </c>
    </row>
    <row r="1923" spans="1:14" x14ac:dyDescent="0.3">
      <c r="A1923" s="36" t="s">
        <v>37</v>
      </c>
      <c r="B1923" s="13">
        <v>117</v>
      </c>
      <c r="C1923" s="48" t="str">
        <f>HYPERLINK("https://uscode.house.gov/statutes/pl/117/244.pdf", "P.L. 117-244")</f>
        <v>P.L. 117-244</v>
      </c>
      <c r="D1923" s="3" t="s">
        <v>3565</v>
      </c>
      <c r="E1923" s="3" t="s">
        <v>1377</v>
      </c>
      <c r="F1923" s="3" t="s">
        <v>3566</v>
      </c>
      <c r="G1923" s="49"/>
      <c r="H1923" s="46">
        <v>46660</v>
      </c>
      <c r="I1923" s="13">
        <v>2027</v>
      </c>
      <c r="J1923" s="47">
        <v>28000000</v>
      </c>
      <c r="K1923" s="16" t="s">
        <v>62</v>
      </c>
      <c r="L1923" s="3" t="s">
        <v>60</v>
      </c>
      <c r="M1923" s="3" t="s">
        <v>71</v>
      </c>
      <c r="N1923" s="3" t="s">
        <v>72</v>
      </c>
    </row>
    <row r="1924" spans="1:14" x14ac:dyDescent="0.3">
      <c r="A1924" s="36" t="s">
        <v>37</v>
      </c>
      <c r="B1924" s="13">
        <v>117</v>
      </c>
      <c r="C1924" s="48" t="str">
        <f>HYPERLINK("https://uscode.house.gov/statutes/pl/117/258.pdf", "P.L. 117-258")</f>
        <v>P.L. 117-258</v>
      </c>
      <c r="D1924" s="3" t="s">
        <v>3567</v>
      </c>
      <c r="F1924" s="3" t="s">
        <v>3568</v>
      </c>
      <c r="G1924" s="49"/>
      <c r="H1924" s="46">
        <v>46660</v>
      </c>
      <c r="I1924" s="13">
        <v>2027</v>
      </c>
      <c r="J1924" s="47">
        <v>3000000</v>
      </c>
      <c r="K1924" s="16" t="s">
        <v>62</v>
      </c>
      <c r="L1924" s="3" t="s">
        <v>47</v>
      </c>
      <c r="M1924" s="3" t="s">
        <v>48</v>
      </c>
      <c r="N1924" s="3" t="s">
        <v>49</v>
      </c>
    </row>
    <row r="1925" spans="1:14" x14ac:dyDescent="0.3">
      <c r="A1925" s="36" t="s">
        <v>37</v>
      </c>
      <c r="B1925" s="13">
        <v>117</v>
      </c>
      <c r="C1925" s="48" t="str">
        <f>HYPERLINK("https://uscode.house.gov/statutes/pl/117/262.pdf", "P.L. 117-262")</f>
        <v>P.L. 117-262</v>
      </c>
      <c r="D1925" s="3" t="s">
        <v>3569</v>
      </c>
      <c r="F1925" s="3" t="s">
        <v>3570</v>
      </c>
      <c r="G1925" s="48" t="str">
        <f>HYPERLINK("https://uscode.house.gov/view.xhtml?req=granuleid:USC-prelim-title34-section21117&amp;num=0&amp;edition=prelim", "34 U.S.C. 21117(a)(10)")</f>
        <v>34 U.S.C. 21117(a)(10)</v>
      </c>
      <c r="H1925" s="46">
        <v>45565</v>
      </c>
      <c r="I1925" s="13">
        <v>2024</v>
      </c>
      <c r="J1925" s="47">
        <v>60000000</v>
      </c>
      <c r="K1925" s="16" t="s">
        <v>62</v>
      </c>
      <c r="L1925" s="3" t="s">
        <v>41</v>
      </c>
      <c r="M1925" s="3" t="s">
        <v>42</v>
      </c>
      <c r="N1925" s="3" t="s">
        <v>43</v>
      </c>
    </row>
    <row r="1926" spans="1:14" x14ac:dyDescent="0.3">
      <c r="A1926" s="36" t="s">
        <v>37</v>
      </c>
      <c r="B1926" s="13">
        <v>117</v>
      </c>
      <c r="C1926" s="48" t="str">
        <f t="shared" ref="C1926:C1957" si="76">HYPERLINK("https://uscode.house.gov/statutes/pl/117/263.pdf", "P.L. 117-263")</f>
        <v>P.L. 117-263</v>
      </c>
      <c r="D1926" s="3" t="s">
        <v>3571</v>
      </c>
      <c r="F1926" s="3" t="s">
        <v>3572</v>
      </c>
      <c r="G1926" s="49"/>
      <c r="H1926" s="46">
        <v>45199</v>
      </c>
      <c r="I1926" s="13">
        <v>2023</v>
      </c>
      <c r="J1926" s="47">
        <v>797022373000</v>
      </c>
      <c r="K1926" s="16" t="s">
        <v>62</v>
      </c>
      <c r="L1926" s="3" t="s">
        <v>1635</v>
      </c>
      <c r="M1926" s="3" t="s">
        <v>1636</v>
      </c>
      <c r="N1926" s="3" t="s">
        <v>1664</v>
      </c>
    </row>
    <row r="1927" spans="1:14" x14ac:dyDescent="0.3">
      <c r="A1927" s="36" t="s">
        <v>37</v>
      </c>
      <c r="B1927" s="13">
        <v>117</v>
      </c>
      <c r="C1927" s="48" t="str">
        <f t="shared" si="76"/>
        <v>P.L. 117-263</v>
      </c>
      <c r="D1927" s="3" t="s">
        <v>3571</v>
      </c>
      <c r="F1927" s="3" t="s">
        <v>3573</v>
      </c>
      <c r="G1927" s="49"/>
      <c r="H1927" s="46">
        <v>45199</v>
      </c>
      <c r="I1927" s="13">
        <v>2023</v>
      </c>
      <c r="J1927" s="47">
        <v>30269863000</v>
      </c>
      <c r="K1927" s="16" t="s">
        <v>62</v>
      </c>
      <c r="L1927" s="3" t="s">
        <v>60</v>
      </c>
      <c r="M1927" s="3" t="s">
        <v>1636</v>
      </c>
      <c r="N1927" s="3" t="s">
        <v>58</v>
      </c>
    </row>
    <row r="1928" spans="1:14" x14ac:dyDescent="0.3">
      <c r="A1928" s="36" t="s">
        <v>37</v>
      </c>
      <c r="B1928" s="13">
        <v>117</v>
      </c>
      <c r="C1928" s="48" t="str">
        <f t="shared" si="76"/>
        <v>P.L. 117-263</v>
      </c>
      <c r="D1928" s="3" t="s">
        <v>3571</v>
      </c>
      <c r="F1928" s="3" t="s">
        <v>3574</v>
      </c>
      <c r="G1928" s="49"/>
      <c r="H1928" s="46">
        <v>45199</v>
      </c>
      <c r="I1928" s="13">
        <v>2023</v>
      </c>
      <c r="J1928" s="47">
        <v>152360000</v>
      </c>
      <c r="K1928" s="16" t="s">
        <v>62</v>
      </c>
      <c r="L1928" s="3" t="s">
        <v>1635</v>
      </c>
      <c r="M1928" s="3" t="s">
        <v>1636</v>
      </c>
      <c r="N1928" s="3" t="s">
        <v>267</v>
      </c>
    </row>
    <row r="1929" spans="1:14" x14ac:dyDescent="0.3">
      <c r="A1929" s="36" t="s">
        <v>37</v>
      </c>
      <c r="B1929" s="13">
        <v>117</v>
      </c>
      <c r="C1929" s="48" t="str">
        <f t="shared" si="76"/>
        <v>P.L. 117-263</v>
      </c>
      <c r="D1929" s="3" t="s">
        <v>3571</v>
      </c>
      <c r="F1929" s="3" t="s">
        <v>3575</v>
      </c>
      <c r="G1929" s="49"/>
      <c r="H1929" s="46">
        <v>45199</v>
      </c>
      <c r="I1929" s="13">
        <v>2023</v>
      </c>
      <c r="J1929" s="47">
        <v>19485723000</v>
      </c>
      <c r="K1929" s="16" t="s">
        <v>62</v>
      </c>
      <c r="L1929" s="3" t="s">
        <v>1635</v>
      </c>
      <c r="M1929" s="3" t="s">
        <v>1636</v>
      </c>
      <c r="N1929" s="3" t="s">
        <v>267</v>
      </c>
    </row>
    <row r="1930" spans="1:14" x14ac:dyDescent="0.3">
      <c r="A1930" s="36" t="s">
        <v>37</v>
      </c>
      <c r="B1930" s="13">
        <v>117</v>
      </c>
      <c r="C1930" s="48" t="str">
        <f t="shared" si="76"/>
        <v>P.L. 117-263</v>
      </c>
      <c r="D1930" s="3" t="s">
        <v>3571</v>
      </c>
      <c r="F1930" s="3" t="s">
        <v>3576</v>
      </c>
      <c r="G1930" s="49"/>
      <c r="H1930" s="46">
        <v>45199</v>
      </c>
      <c r="I1930" s="13">
        <v>2023</v>
      </c>
      <c r="J1930" s="47">
        <v>13004000</v>
      </c>
      <c r="K1930" s="16" t="s">
        <v>62</v>
      </c>
      <c r="L1930" s="3" t="s">
        <v>60</v>
      </c>
      <c r="M1930" s="3" t="s">
        <v>1636</v>
      </c>
      <c r="N1930" s="3" t="s">
        <v>58</v>
      </c>
    </row>
    <row r="1931" spans="1:14" x14ac:dyDescent="0.3">
      <c r="A1931" s="36" t="s">
        <v>37</v>
      </c>
      <c r="B1931" s="13">
        <v>117</v>
      </c>
      <c r="C1931" s="48" t="str">
        <f t="shared" si="76"/>
        <v>P.L. 117-263</v>
      </c>
      <c r="D1931" s="3" t="s">
        <v>3571</v>
      </c>
      <c r="F1931" s="3" t="s">
        <v>3577</v>
      </c>
      <c r="G1931" s="49"/>
      <c r="H1931" s="46">
        <v>45199</v>
      </c>
      <c r="I1931" s="13">
        <v>2023</v>
      </c>
      <c r="J1931" s="47">
        <v>1192061000</v>
      </c>
      <c r="K1931" s="16" t="s">
        <v>62</v>
      </c>
      <c r="L1931" s="3" t="s">
        <v>109</v>
      </c>
      <c r="M1931" s="3" t="s">
        <v>1636</v>
      </c>
      <c r="N1931" s="3" t="s">
        <v>158</v>
      </c>
    </row>
    <row r="1932" spans="1:14" x14ac:dyDescent="0.3">
      <c r="A1932" s="36" t="s">
        <v>37</v>
      </c>
      <c r="B1932" s="13">
        <v>117</v>
      </c>
      <c r="C1932" s="48" t="str">
        <f t="shared" si="76"/>
        <v>P.L. 117-263</v>
      </c>
      <c r="D1932" s="3" t="s">
        <v>3571</v>
      </c>
      <c r="F1932" s="3" t="s">
        <v>3578</v>
      </c>
      <c r="G1932" s="49"/>
      <c r="H1932" s="46">
        <v>45565</v>
      </c>
      <c r="I1932" s="13">
        <v>2024</v>
      </c>
      <c r="J1932" s="47">
        <v>3000000</v>
      </c>
      <c r="K1932" s="16" t="s">
        <v>62</v>
      </c>
      <c r="L1932" s="3" t="s">
        <v>80</v>
      </c>
      <c r="M1932" s="3" t="s">
        <v>81</v>
      </c>
      <c r="N1932" s="3" t="s">
        <v>82</v>
      </c>
    </row>
    <row r="1933" spans="1:14" x14ac:dyDescent="0.3">
      <c r="A1933" s="36" t="s">
        <v>37</v>
      </c>
      <c r="B1933" s="13">
        <v>117</v>
      </c>
      <c r="C1933" s="48" t="str">
        <f t="shared" si="76"/>
        <v>P.L. 117-263</v>
      </c>
      <c r="D1933" s="3" t="s">
        <v>3571</v>
      </c>
      <c r="F1933" s="3" t="s">
        <v>3579</v>
      </c>
      <c r="G1933" s="49"/>
      <c r="H1933" s="46">
        <v>46660</v>
      </c>
      <c r="I1933" s="13">
        <v>2027</v>
      </c>
      <c r="J1933" s="47">
        <v>750000</v>
      </c>
      <c r="K1933" s="16" t="s">
        <v>62</v>
      </c>
      <c r="L1933" s="3" t="s">
        <v>80</v>
      </c>
      <c r="M1933" s="3" t="s">
        <v>81</v>
      </c>
      <c r="N1933" s="3" t="s">
        <v>82</v>
      </c>
    </row>
    <row r="1934" spans="1:14" x14ac:dyDescent="0.3">
      <c r="A1934" s="36" t="s">
        <v>37</v>
      </c>
      <c r="B1934" s="13">
        <v>117</v>
      </c>
      <c r="C1934" s="48" t="str">
        <f t="shared" si="76"/>
        <v>P.L. 117-263</v>
      </c>
      <c r="D1934" s="3" t="s">
        <v>3571</v>
      </c>
      <c r="F1934" s="3" t="s">
        <v>3580</v>
      </c>
      <c r="G1934" s="49"/>
      <c r="H1934" s="46">
        <v>46660</v>
      </c>
      <c r="I1934" s="13">
        <v>2027</v>
      </c>
      <c r="J1934" s="47">
        <v>25000000</v>
      </c>
      <c r="K1934" s="16" t="s">
        <v>62</v>
      </c>
      <c r="L1934" s="3" t="s">
        <v>80</v>
      </c>
      <c r="M1934" s="3" t="s">
        <v>81</v>
      </c>
      <c r="N1934" s="3" t="s">
        <v>82</v>
      </c>
    </row>
    <row r="1935" spans="1:14" x14ac:dyDescent="0.3">
      <c r="A1935" s="36" t="s">
        <v>37</v>
      </c>
      <c r="B1935" s="13">
        <v>117</v>
      </c>
      <c r="C1935" s="48" t="str">
        <f t="shared" si="76"/>
        <v>P.L. 117-263</v>
      </c>
      <c r="D1935" s="3" t="s">
        <v>3571</v>
      </c>
      <c r="F1935" s="3" t="s">
        <v>3581</v>
      </c>
      <c r="G1935" s="49"/>
      <c r="H1935" s="46">
        <v>45565</v>
      </c>
      <c r="I1935" s="13">
        <v>2024</v>
      </c>
      <c r="J1935" s="47">
        <v>25000000</v>
      </c>
      <c r="K1935" s="16" t="s">
        <v>62</v>
      </c>
      <c r="L1935" s="3" t="s">
        <v>80</v>
      </c>
      <c r="M1935" s="3" t="s">
        <v>81</v>
      </c>
      <c r="N1935" s="3" t="s">
        <v>82</v>
      </c>
    </row>
    <row r="1936" spans="1:14" x14ac:dyDescent="0.3">
      <c r="A1936" s="36" t="s">
        <v>37</v>
      </c>
      <c r="B1936" s="13">
        <v>117</v>
      </c>
      <c r="C1936" s="48" t="str">
        <f t="shared" si="76"/>
        <v>P.L. 117-263</v>
      </c>
      <c r="D1936" s="3" t="s">
        <v>3571</v>
      </c>
      <c r="F1936" s="3" t="s">
        <v>3582</v>
      </c>
      <c r="G1936" s="49"/>
      <c r="H1936" s="46">
        <v>45199</v>
      </c>
      <c r="I1936" s="13">
        <v>2023</v>
      </c>
      <c r="J1936" s="47">
        <v>126500000</v>
      </c>
      <c r="K1936" s="16" t="s">
        <v>62</v>
      </c>
      <c r="L1936" s="3" t="s">
        <v>80</v>
      </c>
      <c r="M1936" s="3" t="s">
        <v>81</v>
      </c>
      <c r="N1936" s="3" t="s">
        <v>82</v>
      </c>
    </row>
    <row r="1937" spans="1:14" x14ac:dyDescent="0.3">
      <c r="A1937" s="36" t="s">
        <v>37</v>
      </c>
      <c r="B1937" s="13">
        <v>117</v>
      </c>
      <c r="C1937" s="48" t="str">
        <f t="shared" si="76"/>
        <v>P.L. 117-263</v>
      </c>
      <c r="D1937" s="3" t="s">
        <v>3571</v>
      </c>
      <c r="F1937" s="3" t="s">
        <v>3583</v>
      </c>
      <c r="G1937" s="49"/>
      <c r="H1937" s="46">
        <v>45199</v>
      </c>
      <c r="I1937" s="13">
        <v>2023</v>
      </c>
      <c r="J1937" s="47">
        <v>2000000</v>
      </c>
      <c r="K1937" s="16" t="s">
        <v>62</v>
      </c>
      <c r="L1937" s="3" t="s">
        <v>80</v>
      </c>
      <c r="M1937" s="3" t="s">
        <v>81</v>
      </c>
      <c r="N1937" s="3" t="s">
        <v>82</v>
      </c>
    </row>
    <row r="1938" spans="1:14" x14ac:dyDescent="0.3">
      <c r="A1938" s="36" t="s">
        <v>37</v>
      </c>
      <c r="B1938" s="13">
        <v>117</v>
      </c>
      <c r="C1938" s="48" t="str">
        <f t="shared" si="76"/>
        <v>P.L. 117-263</v>
      </c>
      <c r="D1938" s="3" t="s">
        <v>3571</v>
      </c>
      <c r="F1938" s="3" t="s">
        <v>3584</v>
      </c>
      <c r="G1938" s="49"/>
      <c r="H1938" s="46">
        <v>47026</v>
      </c>
      <c r="I1938" s="13">
        <v>2028</v>
      </c>
      <c r="J1938" s="47">
        <v>1000000</v>
      </c>
      <c r="K1938" s="16" t="s">
        <v>62</v>
      </c>
      <c r="L1938" s="3" t="s">
        <v>156</v>
      </c>
      <c r="M1938" s="3" t="s">
        <v>418</v>
      </c>
      <c r="N1938" s="3" t="s">
        <v>55</v>
      </c>
    </row>
    <row r="1939" spans="1:14" x14ac:dyDescent="0.3">
      <c r="A1939" s="36" t="s">
        <v>37</v>
      </c>
      <c r="B1939" s="13">
        <v>117</v>
      </c>
      <c r="C1939" s="48" t="str">
        <f t="shared" si="76"/>
        <v>P.L. 117-263</v>
      </c>
      <c r="D1939" s="3" t="s">
        <v>3571</v>
      </c>
      <c r="F1939" s="3" t="s">
        <v>3585</v>
      </c>
      <c r="G1939" s="49"/>
      <c r="H1939" s="46">
        <v>46660</v>
      </c>
      <c r="I1939" s="13">
        <v>2027</v>
      </c>
      <c r="J1939" s="47">
        <v>20000000</v>
      </c>
      <c r="K1939" s="16" t="s">
        <v>62</v>
      </c>
      <c r="L1939" s="3" t="s">
        <v>41</v>
      </c>
      <c r="M1939" s="3" t="s">
        <v>148</v>
      </c>
      <c r="N1939" s="3" t="s">
        <v>43</v>
      </c>
    </row>
    <row r="1940" spans="1:14" x14ac:dyDescent="0.3">
      <c r="A1940" s="36" t="s">
        <v>37</v>
      </c>
      <c r="B1940" s="13">
        <v>117</v>
      </c>
      <c r="C1940" s="48" t="str">
        <f t="shared" si="76"/>
        <v>P.L. 117-263</v>
      </c>
      <c r="D1940" s="3" t="s">
        <v>3571</v>
      </c>
      <c r="F1940" s="3" t="s">
        <v>3586</v>
      </c>
      <c r="G1940" s="49"/>
      <c r="H1940" s="46">
        <v>46660</v>
      </c>
      <c r="I1940" s="13">
        <v>2027</v>
      </c>
      <c r="J1940" s="47">
        <v>1000000</v>
      </c>
      <c r="K1940" s="16" t="s">
        <v>62</v>
      </c>
      <c r="L1940" s="3" t="s">
        <v>80</v>
      </c>
      <c r="M1940" s="3" t="s">
        <v>81</v>
      </c>
      <c r="N1940" s="3" t="s">
        <v>82</v>
      </c>
    </row>
    <row r="1941" spans="1:14" x14ac:dyDescent="0.3">
      <c r="A1941" s="36" t="s">
        <v>37</v>
      </c>
      <c r="B1941" s="13">
        <v>117</v>
      </c>
      <c r="C1941" s="48" t="str">
        <f t="shared" si="76"/>
        <v>P.L. 117-263</v>
      </c>
      <c r="D1941" s="3" t="s">
        <v>3571</v>
      </c>
      <c r="F1941" s="3" t="s">
        <v>3587</v>
      </c>
      <c r="G1941" s="49"/>
      <c r="H1941" s="46">
        <v>48852</v>
      </c>
      <c r="I1941" s="13">
        <v>2033</v>
      </c>
      <c r="J1941" s="47">
        <v>2000000</v>
      </c>
      <c r="K1941" s="16" t="s">
        <v>62</v>
      </c>
      <c r="L1941" s="3" t="s">
        <v>53</v>
      </c>
      <c r="M1941" s="3" t="s">
        <v>54</v>
      </c>
      <c r="N1941" s="3" t="s">
        <v>55</v>
      </c>
    </row>
    <row r="1942" spans="1:14" x14ac:dyDescent="0.3">
      <c r="A1942" s="36" t="s">
        <v>37</v>
      </c>
      <c r="B1942" s="13">
        <v>117</v>
      </c>
      <c r="C1942" s="48" t="str">
        <f t="shared" si="76"/>
        <v>P.L. 117-263</v>
      </c>
      <c r="D1942" s="3" t="s">
        <v>3571</v>
      </c>
      <c r="F1942" s="3" t="s">
        <v>3588</v>
      </c>
      <c r="G1942" s="49"/>
      <c r="H1942" s="46">
        <v>45565</v>
      </c>
      <c r="I1942" s="13">
        <v>2024</v>
      </c>
      <c r="J1942" s="47">
        <v>1000000</v>
      </c>
      <c r="K1942" s="16" t="s">
        <v>62</v>
      </c>
      <c r="L1942" s="3" t="s">
        <v>642</v>
      </c>
      <c r="M1942" s="3" t="s">
        <v>230</v>
      </c>
      <c r="N1942" s="3" t="s">
        <v>122</v>
      </c>
    </row>
    <row r="1943" spans="1:14" x14ac:dyDescent="0.3">
      <c r="A1943" s="36" t="s">
        <v>37</v>
      </c>
      <c r="B1943" s="13">
        <v>117</v>
      </c>
      <c r="C1943" s="48" t="str">
        <f t="shared" si="76"/>
        <v>P.L. 117-263</v>
      </c>
      <c r="D1943" s="3" t="s">
        <v>3571</v>
      </c>
      <c r="F1943" s="3" t="s">
        <v>3589</v>
      </c>
      <c r="G1943" s="49"/>
      <c r="H1943" s="46">
        <v>45565</v>
      </c>
      <c r="I1943" s="13">
        <v>2024</v>
      </c>
      <c r="J1943" s="47">
        <v>20000000</v>
      </c>
      <c r="K1943" s="16" t="s">
        <v>62</v>
      </c>
      <c r="L1943" s="3" t="s">
        <v>642</v>
      </c>
      <c r="M1943" s="3" t="s">
        <v>230</v>
      </c>
      <c r="N1943" s="3" t="s">
        <v>122</v>
      </c>
    </row>
    <row r="1944" spans="1:14" x14ac:dyDescent="0.3">
      <c r="A1944" s="36" t="s">
        <v>37</v>
      </c>
      <c r="B1944" s="13">
        <v>117</v>
      </c>
      <c r="C1944" s="48" t="str">
        <f t="shared" si="76"/>
        <v>P.L. 117-263</v>
      </c>
      <c r="D1944" s="3" t="s">
        <v>3571</v>
      </c>
      <c r="F1944" s="3" t="s">
        <v>3590</v>
      </c>
      <c r="G1944" s="49"/>
      <c r="H1944" s="46">
        <v>46660</v>
      </c>
      <c r="I1944" s="13">
        <v>2027</v>
      </c>
      <c r="J1944" s="47">
        <v>45000000</v>
      </c>
      <c r="K1944" s="16" t="s">
        <v>62</v>
      </c>
      <c r="L1944" s="3" t="s">
        <v>47</v>
      </c>
      <c r="M1944" s="3" t="s">
        <v>148</v>
      </c>
      <c r="N1944" s="3" t="s">
        <v>43</v>
      </c>
    </row>
    <row r="1945" spans="1:14" x14ac:dyDescent="0.3">
      <c r="A1945" s="36" t="s">
        <v>37</v>
      </c>
      <c r="B1945" s="13">
        <v>117</v>
      </c>
      <c r="C1945" s="48" t="str">
        <f t="shared" si="76"/>
        <v>P.L. 117-263</v>
      </c>
      <c r="D1945" s="3" t="s">
        <v>3571</v>
      </c>
      <c r="F1945" s="3" t="s">
        <v>3591</v>
      </c>
      <c r="G1945" s="49"/>
      <c r="H1945" s="46">
        <v>47026</v>
      </c>
      <c r="I1945" s="13">
        <v>2028</v>
      </c>
      <c r="J1945" s="47">
        <v>1000000</v>
      </c>
      <c r="K1945" s="16" t="s">
        <v>62</v>
      </c>
      <c r="L1945" s="3" t="s">
        <v>47</v>
      </c>
      <c r="M1945" s="3" t="s">
        <v>148</v>
      </c>
      <c r="N1945" s="3" t="s">
        <v>43</v>
      </c>
    </row>
    <row r="1946" spans="1:14" x14ac:dyDescent="0.3">
      <c r="A1946" s="36" t="s">
        <v>37</v>
      </c>
      <c r="B1946" s="13">
        <v>117</v>
      </c>
      <c r="C1946" s="48" t="str">
        <f t="shared" si="76"/>
        <v>P.L. 117-263</v>
      </c>
      <c r="D1946" s="3" t="s">
        <v>3571</v>
      </c>
      <c r="F1946" s="3" t="s">
        <v>3592</v>
      </c>
      <c r="G1946" s="49"/>
      <c r="H1946" s="46">
        <v>46660</v>
      </c>
      <c r="I1946" s="13">
        <v>2027</v>
      </c>
      <c r="J1946" s="47">
        <v>2000000</v>
      </c>
      <c r="K1946" s="16" t="s">
        <v>62</v>
      </c>
      <c r="L1946" s="3" t="s">
        <v>47</v>
      </c>
      <c r="M1946" s="3" t="s">
        <v>148</v>
      </c>
      <c r="N1946" s="3" t="s">
        <v>43</v>
      </c>
    </row>
    <row r="1947" spans="1:14" x14ac:dyDescent="0.3">
      <c r="A1947" s="36" t="s">
        <v>37</v>
      </c>
      <c r="B1947" s="13">
        <v>117</v>
      </c>
      <c r="C1947" s="48" t="str">
        <f t="shared" si="76"/>
        <v>P.L. 117-263</v>
      </c>
      <c r="D1947" s="3" t="s">
        <v>3571</v>
      </c>
      <c r="F1947" s="3" t="s">
        <v>3593</v>
      </c>
      <c r="G1947" s="49"/>
      <c r="H1947" s="46">
        <v>45199</v>
      </c>
      <c r="I1947" s="13">
        <v>2023</v>
      </c>
      <c r="J1947" s="47">
        <v>10000000</v>
      </c>
      <c r="K1947" s="16" t="s">
        <v>62</v>
      </c>
      <c r="L1947" s="3" t="s">
        <v>47</v>
      </c>
      <c r="M1947" s="3" t="s">
        <v>67</v>
      </c>
      <c r="N1947" s="3" t="s">
        <v>43</v>
      </c>
    </row>
    <row r="1948" spans="1:14" x14ac:dyDescent="0.3">
      <c r="A1948" s="36" t="s">
        <v>37</v>
      </c>
      <c r="B1948" s="13">
        <v>117</v>
      </c>
      <c r="C1948" s="48" t="str">
        <f t="shared" si="76"/>
        <v>P.L. 117-263</v>
      </c>
      <c r="D1948" s="3" t="s">
        <v>3571</v>
      </c>
      <c r="F1948" s="3" t="s">
        <v>3594</v>
      </c>
      <c r="G1948" s="49"/>
      <c r="H1948" s="46">
        <v>46660</v>
      </c>
      <c r="I1948" s="13">
        <v>2027</v>
      </c>
      <c r="J1948" s="47">
        <v>5000000</v>
      </c>
      <c r="K1948" s="16" t="s">
        <v>62</v>
      </c>
      <c r="L1948" s="3" t="s">
        <v>47</v>
      </c>
      <c r="M1948" s="3" t="s">
        <v>67</v>
      </c>
      <c r="N1948" s="3" t="s">
        <v>43</v>
      </c>
    </row>
    <row r="1949" spans="1:14" x14ac:dyDescent="0.3">
      <c r="A1949" s="36" t="s">
        <v>37</v>
      </c>
      <c r="B1949" s="13">
        <v>117</v>
      </c>
      <c r="C1949" s="48" t="str">
        <f t="shared" si="76"/>
        <v>P.L. 117-263</v>
      </c>
      <c r="D1949" s="3" t="s">
        <v>3571</v>
      </c>
      <c r="F1949" s="3" t="s">
        <v>3595</v>
      </c>
      <c r="G1949" s="49"/>
      <c r="H1949" s="46">
        <v>47026</v>
      </c>
      <c r="I1949" s="13">
        <v>2028</v>
      </c>
      <c r="J1949" s="47">
        <v>1500000</v>
      </c>
      <c r="K1949" s="16" t="s">
        <v>62</v>
      </c>
      <c r="L1949" s="3" t="s">
        <v>47</v>
      </c>
      <c r="M1949" s="3" t="s">
        <v>67</v>
      </c>
      <c r="N1949" s="3" t="s">
        <v>43</v>
      </c>
    </row>
    <row r="1950" spans="1:14" x14ac:dyDescent="0.3">
      <c r="A1950" s="36" t="s">
        <v>37</v>
      </c>
      <c r="B1950" s="13">
        <v>117</v>
      </c>
      <c r="C1950" s="48" t="str">
        <f t="shared" si="76"/>
        <v>P.L. 117-263</v>
      </c>
      <c r="D1950" s="3" t="s">
        <v>3571</v>
      </c>
      <c r="F1950" s="3" t="s">
        <v>3596</v>
      </c>
      <c r="G1950" s="49"/>
      <c r="H1950" s="46">
        <v>46660</v>
      </c>
      <c r="I1950" s="13">
        <v>2027</v>
      </c>
      <c r="J1950" s="47">
        <v>20000000</v>
      </c>
      <c r="K1950" s="16" t="s">
        <v>62</v>
      </c>
      <c r="L1950" s="3" t="s">
        <v>47</v>
      </c>
      <c r="M1950" s="3" t="s">
        <v>67</v>
      </c>
      <c r="N1950" s="3" t="s">
        <v>43</v>
      </c>
    </row>
    <row r="1951" spans="1:14" x14ac:dyDescent="0.3">
      <c r="A1951" s="36" t="s">
        <v>37</v>
      </c>
      <c r="B1951" s="13">
        <v>117</v>
      </c>
      <c r="C1951" s="48" t="str">
        <f t="shared" si="76"/>
        <v>P.L. 117-263</v>
      </c>
      <c r="D1951" s="3" t="s">
        <v>3571</v>
      </c>
      <c r="F1951" s="3" t="s">
        <v>3597</v>
      </c>
      <c r="G1951" s="49"/>
      <c r="H1951" s="46">
        <v>45199</v>
      </c>
      <c r="I1951" s="13">
        <v>2023</v>
      </c>
      <c r="J1951" s="47">
        <v>800000000</v>
      </c>
      <c r="K1951" s="16" t="s">
        <v>62</v>
      </c>
      <c r="L1951" s="3" t="s">
        <v>47</v>
      </c>
      <c r="M1951" s="3" t="s">
        <v>67</v>
      </c>
      <c r="N1951" s="3" t="s">
        <v>43</v>
      </c>
    </row>
    <row r="1952" spans="1:14" x14ac:dyDescent="0.3">
      <c r="A1952" s="36" t="s">
        <v>37</v>
      </c>
      <c r="B1952" s="13">
        <v>117</v>
      </c>
      <c r="C1952" s="48" t="str">
        <f t="shared" si="76"/>
        <v>P.L. 117-263</v>
      </c>
      <c r="D1952" s="3" t="s">
        <v>3571</v>
      </c>
      <c r="E1952" s="3" t="s">
        <v>3598</v>
      </c>
      <c r="F1952" s="3" t="s">
        <v>3599</v>
      </c>
      <c r="G1952" s="48" t="str">
        <f t="shared" ref="G1952:G1957" si="77">HYPERLINK("https://uscode.house.gov/view.xhtml?req=granuleid:USC-prelim-title14-section4902&amp;num=0&amp;edition=prelim", "14 U.S.C. 4902")</f>
        <v>14 U.S.C. 4902</v>
      </c>
      <c r="H1952" s="46">
        <v>45199</v>
      </c>
      <c r="I1952" s="13">
        <v>2023</v>
      </c>
      <c r="J1952" s="47">
        <v>10725647000</v>
      </c>
      <c r="K1952" s="16" t="s">
        <v>62</v>
      </c>
      <c r="L1952" s="3" t="s">
        <v>109</v>
      </c>
      <c r="M1952" s="3" t="s">
        <v>148</v>
      </c>
      <c r="N1952" s="3" t="s">
        <v>122</v>
      </c>
    </row>
    <row r="1953" spans="1:14" x14ac:dyDescent="0.3">
      <c r="A1953" s="36" t="s">
        <v>37</v>
      </c>
      <c r="B1953" s="13">
        <v>117</v>
      </c>
      <c r="C1953" s="48" t="str">
        <f t="shared" si="76"/>
        <v>P.L. 117-263</v>
      </c>
      <c r="D1953" s="3" t="s">
        <v>3571</v>
      </c>
      <c r="E1953" s="3" t="s">
        <v>3600</v>
      </c>
      <c r="F1953" s="3" t="s">
        <v>3601</v>
      </c>
      <c r="G1953" s="48" t="str">
        <f t="shared" si="77"/>
        <v>14 U.S.C. 4902</v>
      </c>
      <c r="H1953" s="46">
        <v>45199</v>
      </c>
      <c r="I1953" s="13">
        <v>2023</v>
      </c>
      <c r="J1953" s="47">
        <v>24353000</v>
      </c>
      <c r="K1953" s="16" t="s">
        <v>62</v>
      </c>
      <c r="L1953" s="3" t="s">
        <v>109</v>
      </c>
      <c r="M1953" s="3" t="s">
        <v>148</v>
      </c>
      <c r="N1953" s="3" t="s">
        <v>122</v>
      </c>
    </row>
    <row r="1954" spans="1:14" x14ac:dyDescent="0.3">
      <c r="A1954" s="36" t="s">
        <v>37</v>
      </c>
      <c r="B1954" s="13">
        <v>117</v>
      </c>
      <c r="C1954" s="48" t="str">
        <f t="shared" si="76"/>
        <v>P.L. 117-263</v>
      </c>
      <c r="D1954" s="3" t="s">
        <v>3571</v>
      </c>
      <c r="E1954" s="3" t="s">
        <v>3602</v>
      </c>
      <c r="F1954" s="3" t="s">
        <v>3603</v>
      </c>
      <c r="G1954" s="48" t="str">
        <f t="shared" si="77"/>
        <v>14 U.S.C. 4902</v>
      </c>
      <c r="H1954" s="46">
        <v>45199</v>
      </c>
      <c r="I1954" s="13">
        <v>2023</v>
      </c>
      <c r="J1954" s="47">
        <v>3456792000</v>
      </c>
      <c r="K1954" s="16" t="s">
        <v>62</v>
      </c>
      <c r="L1954" s="3" t="s">
        <v>109</v>
      </c>
      <c r="M1954" s="3" t="s">
        <v>148</v>
      </c>
      <c r="N1954" s="3" t="s">
        <v>122</v>
      </c>
    </row>
    <row r="1955" spans="1:14" x14ac:dyDescent="0.3">
      <c r="A1955" s="36" t="s">
        <v>37</v>
      </c>
      <c r="B1955" s="13">
        <v>117</v>
      </c>
      <c r="C1955" s="48" t="str">
        <f t="shared" si="76"/>
        <v>P.L. 117-263</v>
      </c>
      <c r="D1955" s="3" t="s">
        <v>3571</v>
      </c>
      <c r="E1955" s="3" t="s">
        <v>3604</v>
      </c>
      <c r="F1955" s="3" t="s">
        <v>3605</v>
      </c>
      <c r="G1955" s="48" t="str">
        <f t="shared" si="77"/>
        <v>14 U.S.C. 4902</v>
      </c>
      <c r="H1955" s="46">
        <v>45199</v>
      </c>
      <c r="I1955" s="13">
        <v>2023</v>
      </c>
      <c r="J1955" s="47">
        <v>20808000</v>
      </c>
      <c r="K1955" s="16" t="s">
        <v>62</v>
      </c>
      <c r="L1955" s="3" t="s">
        <v>109</v>
      </c>
      <c r="M1955" s="3" t="s">
        <v>148</v>
      </c>
      <c r="N1955" s="3" t="s">
        <v>122</v>
      </c>
    </row>
    <row r="1956" spans="1:14" x14ac:dyDescent="0.3">
      <c r="A1956" s="36" t="s">
        <v>37</v>
      </c>
      <c r="B1956" s="13">
        <v>117</v>
      </c>
      <c r="C1956" s="48" t="str">
        <f t="shared" si="76"/>
        <v>P.L. 117-263</v>
      </c>
      <c r="D1956" s="3" t="s">
        <v>3571</v>
      </c>
      <c r="E1956" s="3" t="s">
        <v>3606</v>
      </c>
      <c r="F1956" s="3" t="s">
        <v>3607</v>
      </c>
      <c r="G1956" s="48" t="str">
        <f t="shared" si="77"/>
        <v>14 U.S.C. 4902</v>
      </c>
      <c r="H1956" s="46">
        <v>45199</v>
      </c>
      <c r="I1956" s="13">
        <v>2023</v>
      </c>
      <c r="J1956" s="47">
        <v>14681000</v>
      </c>
      <c r="K1956" s="16" t="s">
        <v>62</v>
      </c>
      <c r="L1956" s="3" t="s">
        <v>109</v>
      </c>
      <c r="M1956" s="3" t="s">
        <v>148</v>
      </c>
      <c r="N1956" s="3" t="s">
        <v>122</v>
      </c>
    </row>
    <row r="1957" spans="1:14" x14ac:dyDescent="0.3">
      <c r="A1957" s="36" t="s">
        <v>37</v>
      </c>
      <c r="B1957" s="13">
        <v>117</v>
      </c>
      <c r="C1957" s="48" t="str">
        <f t="shared" si="76"/>
        <v>P.L. 117-263</v>
      </c>
      <c r="D1957" s="3" t="s">
        <v>3571</v>
      </c>
      <c r="E1957" s="3" t="s">
        <v>3608</v>
      </c>
      <c r="F1957" s="3" t="s">
        <v>3609</v>
      </c>
      <c r="G1957" s="48" t="str">
        <f t="shared" si="77"/>
        <v>14 U.S.C. 4902</v>
      </c>
      <c r="H1957" s="46">
        <v>45199</v>
      </c>
      <c r="I1957" s="13">
        <v>2023</v>
      </c>
      <c r="J1957" s="47">
        <v>252887000</v>
      </c>
      <c r="K1957" s="16" t="s">
        <v>62</v>
      </c>
      <c r="L1957" s="3" t="s">
        <v>109</v>
      </c>
      <c r="M1957" s="3" t="s">
        <v>148</v>
      </c>
      <c r="N1957" s="3" t="s">
        <v>122</v>
      </c>
    </row>
    <row r="1958" spans="1:14" x14ac:dyDescent="0.3">
      <c r="A1958" s="36" t="s">
        <v>37</v>
      </c>
      <c r="B1958" s="13">
        <v>117</v>
      </c>
      <c r="C1958" s="48" t="str">
        <f t="shared" ref="C1958:C1976" si="78">HYPERLINK("https://uscode.house.gov/statutes/pl/117/263.pdf", "P.L. 117-263")</f>
        <v>P.L. 117-263</v>
      </c>
      <c r="D1958" s="3" t="s">
        <v>3571</v>
      </c>
      <c r="E1958" s="3" t="s">
        <v>3610</v>
      </c>
      <c r="F1958" s="3" t="s">
        <v>3611</v>
      </c>
      <c r="G1958" s="49"/>
      <c r="H1958" s="46">
        <v>47026</v>
      </c>
      <c r="I1958" s="13">
        <v>2028</v>
      </c>
      <c r="J1958" s="16" t="s">
        <v>12</v>
      </c>
      <c r="K1958" s="16" t="s">
        <v>62</v>
      </c>
      <c r="L1958" s="3" t="s">
        <v>109</v>
      </c>
      <c r="M1958" s="3" t="s">
        <v>148</v>
      </c>
      <c r="N1958" s="3" t="s">
        <v>122</v>
      </c>
    </row>
    <row r="1959" spans="1:14" x14ac:dyDescent="0.3">
      <c r="A1959" s="36" t="s">
        <v>37</v>
      </c>
      <c r="B1959" s="13">
        <v>117</v>
      </c>
      <c r="C1959" s="48" t="str">
        <f t="shared" si="78"/>
        <v>P.L. 117-263</v>
      </c>
      <c r="D1959" s="3" t="s">
        <v>3571</v>
      </c>
      <c r="E1959" s="3" t="s">
        <v>3612</v>
      </c>
      <c r="F1959" s="3" t="s">
        <v>3613</v>
      </c>
      <c r="G1959" s="49"/>
      <c r="H1959" s="46">
        <v>47026</v>
      </c>
      <c r="I1959" s="13">
        <v>2028</v>
      </c>
      <c r="J1959" s="16" t="s">
        <v>12</v>
      </c>
      <c r="K1959" s="16" t="s">
        <v>62</v>
      </c>
      <c r="L1959" s="3" t="s">
        <v>109</v>
      </c>
      <c r="M1959" s="3" t="s">
        <v>148</v>
      </c>
      <c r="N1959" s="3" t="s">
        <v>122</v>
      </c>
    </row>
    <row r="1960" spans="1:14" x14ac:dyDescent="0.3">
      <c r="A1960" s="36" t="s">
        <v>37</v>
      </c>
      <c r="B1960" s="13">
        <v>117</v>
      </c>
      <c r="C1960" s="48" t="str">
        <f t="shared" si="78"/>
        <v>P.L. 117-263</v>
      </c>
      <c r="D1960" s="3" t="s">
        <v>3571</v>
      </c>
      <c r="E1960" s="3" t="s">
        <v>3614</v>
      </c>
      <c r="F1960" s="3" t="s">
        <v>3615</v>
      </c>
      <c r="G1960" s="49"/>
      <c r="H1960" s="46">
        <v>45199</v>
      </c>
      <c r="I1960" s="13">
        <v>2023</v>
      </c>
      <c r="J1960" s="47">
        <v>664445000</v>
      </c>
      <c r="K1960" s="16" t="s">
        <v>62</v>
      </c>
      <c r="L1960" s="3" t="s">
        <v>3616</v>
      </c>
      <c r="M1960" s="3" t="s">
        <v>3617</v>
      </c>
      <c r="N1960" s="3" t="s">
        <v>1664</v>
      </c>
    </row>
    <row r="1961" spans="1:14" x14ac:dyDescent="0.3">
      <c r="A1961" s="36" t="s">
        <v>37</v>
      </c>
      <c r="B1961" s="13">
        <v>117</v>
      </c>
      <c r="C1961" s="48" t="str">
        <f t="shared" si="78"/>
        <v>P.L. 117-263</v>
      </c>
      <c r="D1961" s="3" t="s">
        <v>3571</v>
      </c>
      <c r="E1961" s="3" t="s">
        <v>3618</v>
      </c>
      <c r="F1961" s="3" t="s">
        <v>3619</v>
      </c>
      <c r="G1961" s="49"/>
      <c r="H1961" s="46">
        <v>45199</v>
      </c>
      <c r="I1961" s="13">
        <v>2023</v>
      </c>
      <c r="J1961" s="47">
        <v>514000000</v>
      </c>
      <c r="K1961" s="16" t="s">
        <v>62</v>
      </c>
      <c r="L1961" s="3" t="s">
        <v>3616</v>
      </c>
      <c r="M1961" s="3" t="s">
        <v>3617</v>
      </c>
      <c r="N1961" s="3" t="s">
        <v>1664</v>
      </c>
    </row>
    <row r="1962" spans="1:14" x14ac:dyDescent="0.3">
      <c r="A1962" s="36" t="s">
        <v>37</v>
      </c>
      <c r="B1962" s="13">
        <v>117</v>
      </c>
      <c r="C1962" s="48" t="str">
        <f t="shared" si="78"/>
        <v>P.L. 117-263</v>
      </c>
      <c r="D1962" s="3" t="s">
        <v>3571</v>
      </c>
      <c r="E1962" s="3" t="s">
        <v>3620</v>
      </c>
      <c r="F1962" s="3" t="s">
        <v>3621</v>
      </c>
      <c r="G1962" s="49"/>
      <c r="H1962" s="46">
        <v>45199</v>
      </c>
      <c r="I1962" s="13">
        <v>2023</v>
      </c>
      <c r="J1962" s="16" t="s">
        <v>12</v>
      </c>
      <c r="K1962" s="16" t="s">
        <v>62</v>
      </c>
      <c r="L1962" s="3" t="s">
        <v>3616</v>
      </c>
      <c r="M1962" s="3" t="s">
        <v>3617</v>
      </c>
      <c r="N1962" s="3" t="s">
        <v>122</v>
      </c>
    </row>
    <row r="1963" spans="1:14" x14ac:dyDescent="0.3">
      <c r="A1963" s="36" t="s">
        <v>37</v>
      </c>
      <c r="B1963" s="13">
        <v>117</v>
      </c>
      <c r="C1963" s="48" t="str">
        <f t="shared" si="78"/>
        <v>P.L. 117-263</v>
      </c>
      <c r="D1963" s="3" t="s">
        <v>3571</v>
      </c>
      <c r="E1963" s="3" t="s">
        <v>3620</v>
      </c>
      <c r="F1963" s="3" t="s">
        <v>3622</v>
      </c>
      <c r="G1963" s="49"/>
      <c r="H1963" s="46">
        <v>45199</v>
      </c>
      <c r="I1963" s="13">
        <v>2023</v>
      </c>
      <c r="J1963" s="16" t="s">
        <v>12</v>
      </c>
      <c r="K1963" s="16" t="s">
        <v>62</v>
      </c>
      <c r="L1963" s="3" t="s">
        <v>3616</v>
      </c>
      <c r="M1963" s="3" t="s">
        <v>3617</v>
      </c>
      <c r="N1963" s="3" t="s">
        <v>122</v>
      </c>
    </row>
    <row r="1964" spans="1:14" x14ac:dyDescent="0.3">
      <c r="A1964" s="36" t="s">
        <v>37</v>
      </c>
      <c r="B1964" s="13">
        <v>117</v>
      </c>
      <c r="C1964" s="48" t="str">
        <f t="shared" si="78"/>
        <v>P.L. 117-263</v>
      </c>
      <c r="D1964" s="3" t="s">
        <v>3571</v>
      </c>
      <c r="E1964" s="3" t="s">
        <v>3620</v>
      </c>
      <c r="F1964" s="3" t="s">
        <v>3623</v>
      </c>
      <c r="G1964" s="49"/>
      <c r="H1964" s="46">
        <v>45199</v>
      </c>
      <c r="I1964" s="13">
        <v>2023</v>
      </c>
      <c r="J1964" s="16" t="s">
        <v>12</v>
      </c>
      <c r="K1964" s="16" t="s">
        <v>62</v>
      </c>
      <c r="L1964" s="3" t="s">
        <v>3616</v>
      </c>
      <c r="M1964" s="3" t="s">
        <v>3617</v>
      </c>
      <c r="N1964" s="3" t="s">
        <v>1664</v>
      </c>
    </row>
    <row r="1965" spans="1:14" x14ac:dyDescent="0.3">
      <c r="A1965" s="36" t="s">
        <v>37</v>
      </c>
      <c r="B1965" s="13">
        <v>117</v>
      </c>
      <c r="C1965" s="48" t="str">
        <f t="shared" si="78"/>
        <v>P.L. 117-263</v>
      </c>
      <c r="D1965" s="3" t="s">
        <v>3571</v>
      </c>
      <c r="E1965" s="3" t="s">
        <v>3620</v>
      </c>
      <c r="F1965" s="3" t="s">
        <v>3624</v>
      </c>
      <c r="G1965" s="49"/>
      <c r="H1965" s="46">
        <v>45199</v>
      </c>
      <c r="I1965" s="13">
        <v>2023</v>
      </c>
      <c r="J1965" s="16" t="s">
        <v>12</v>
      </c>
      <c r="K1965" s="16" t="s">
        <v>62</v>
      </c>
      <c r="L1965" s="3" t="s">
        <v>3616</v>
      </c>
      <c r="M1965" s="3" t="s">
        <v>3617</v>
      </c>
      <c r="N1965" s="3" t="s">
        <v>1664</v>
      </c>
    </row>
    <row r="1966" spans="1:14" x14ac:dyDescent="0.3">
      <c r="A1966" s="36" t="s">
        <v>37</v>
      </c>
      <c r="B1966" s="13">
        <v>117</v>
      </c>
      <c r="C1966" s="48" t="str">
        <f t="shared" si="78"/>
        <v>P.L. 117-263</v>
      </c>
      <c r="D1966" s="3" t="s">
        <v>3571</v>
      </c>
      <c r="E1966" s="3" t="s">
        <v>3620</v>
      </c>
      <c r="F1966" s="3" t="s">
        <v>3625</v>
      </c>
      <c r="G1966" s="49"/>
      <c r="H1966" s="46">
        <v>45199</v>
      </c>
      <c r="I1966" s="13">
        <v>2023</v>
      </c>
      <c r="J1966" s="16" t="s">
        <v>12</v>
      </c>
      <c r="K1966" s="16" t="s">
        <v>62</v>
      </c>
      <c r="L1966" s="3" t="s">
        <v>3616</v>
      </c>
      <c r="M1966" s="3" t="s">
        <v>3617</v>
      </c>
      <c r="N1966" s="3" t="s">
        <v>1664</v>
      </c>
    </row>
    <row r="1967" spans="1:14" x14ac:dyDescent="0.3">
      <c r="A1967" s="36" t="s">
        <v>37</v>
      </c>
      <c r="B1967" s="13">
        <v>117</v>
      </c>
      <c r="C1967" s="48" t="str">
        <f t="shared" si="78"/>
        <v>P.L. 117-263</v>
      </c>
      <c r="D1967" s="3" t="s">
        <v>3571</v>
      </c>
      <c r="E1967" s="3" t="s">
        <v>3620</v>
      </c>
      <c r="F1967" s="3" t="s">
        <v>3626</v>
      </c>
      <c r="G1967" s="49"/>
      <c r="H1967" s="46">
        <v>45199</v>
      </c>
      <c r="I1967" s="13">
        <v>2023</v>
      </c>
      <c r="J1967" s="16" t="s">
        <v>12</v>
      </c>
      <c r="K1967" s="16" t="s">
        <v>62</v>
      </c>
      <c r="L1967" s="3" t="s">
        <v>3616</v>
      </c>
      <c r="M1967" s="3" t="s">
        <v>3617</v>
      </c>
      <c r="N1967" s="3" t="s">
        <v>1664</v>
      </c>
    </row>
    <row r="1968" spans="1:14" x14ac:dyDescent="0.3">
      <c r="A1968" s="36" t="s">
        <v>37</v>
      </c>
      <c r="B1968" s="13">
        <v>117</v>
      </c>
      <c r="C1968" s="48" t="str">
        <f t="shared" si="78"/>
        <v>P.L. 117-263</v>
      </c>
      <c r="D1968" s="3" t="s">
        <v>3571</v>
      </c>
      <c r="E1968" s="3" t="s">
        <v>3620</v>
      </c>
      <c r="F1968" s="3" t="s">
        <v>3627</v>
      </c>
      <c r="G1968" s="49"/>
      <c r="H1968" s="46">
        <v>45199</v>
      </c>
      <c r="I1968" s="13">
        <v>2023</v>
      </c>
      <c r="J1968" s="16" t="s">
        <v>12</v>
      </c>
      <c r="K1968" s="16" t="s">
        <v>62</v>
      </c>
      <c r="L1968" s="3" t="s">
        <v>3616</v>
      </c>
      <c r="M1968" s="3" t="s">
        <v>3617</v>
      </c>
      <c r="N1968" s="3" t="s">
        <v>1664</v>
      </c>
    </row>
    <row r="1969" spans="1:14" x14ac:dyDescent="0.3">
      <c r="A1969" s="36" t="s">
        <v>37</v>
      </c>
      <c r="B1969" s="13">
        <v>117</v>
      </c>
      <c r="C1969" s="48" t="str">
        <f t="shared" si="78"/>
        <v>P.L. 117-263</v>
      </c>
      <c r="D1969" s="3" t="s">
        <v>3571</v>
      </c>
      <c r="E1969" s="3" t="s">
        <v>3620</v>
      </c>
      <c r="F1969" s="3" t="s">
        <v>3628</v>
      </c>
      <c r="G1969" s="49"/>
      <c r="H1969" s="46">
        <v>45199</v>
      </c>
      <c r="I1969" s="13">
        <v>2023</v>
      </c>
      <c r="J1969" s="16" t="s">
        <v>12</v>
      </c>
      <c r="K1969" s="16" t="s">
        <v>62</v>
      </c>
      <c r="L1969" s="3" t="s">
        <v>3616</v>
      </c>
      <c r="M1969" s="3" t="s">
        <v>3617</v>
      </c>
      <c r="N1969" s="3" t="s">
        <v>1664</v>
      </c>
    </row>
    <row r="1970" spans="1:14" x14ac:dyDescent="0.3">
      <c r="A1970" s="36" t="s">
        <v>37</v>
      </c>
      <c r="B1970" s="13">
        <v>117</v>
      </c>
      <c r="C1970" s="48" t="str">
        <f t="shared" si="78"/>
        <v>P.L. 117-263</v>
      </c>
      <c r="D1970" s="3" t="s">
        <v>3571</v>
      </c>
      <c r="E1970" s="3" t="s">
        <v>3620</v>
      </c>
      <c r="F1970" s="3" t="s">
        <v>3629</v>
      </c>
      <c r="G1970" s="49"/>
      <c r="H1970" s="46">
        <v>45199</v>
      </c>
      <c r="I1970" s="13">
        <v>2023</v>
      </c>
      <c r="J1970" s="16" t="s">
        <v>12</v>
      </c>
      <c r="K1970" s="16" t="s">
        <v>62</v>
      </c>
      <c r="L1970" s="3" t="s">
        <v>3616</v>
      </c>
      <c r="M1970" s="3" t="s">
        <v>3617</v>
      </c>
      <c r="N1970" s="3" t="s">
        <v>58</v>
      </c>
    </row>
    <row r="1971" spans="1:14" x14ac:dyDescent="0.3">
      <c r="A1971" s="36" t="s">
        <v>37</v>
      </c>
      <c r="B1971" s="13">
        <v>117</v>
      </c>
      <c r="C1971" s="48" t="str">
        <f t="shared" si="78"/>
        <v>P.L. 117-263</v>
      </c>
      <c r="D1971" s="3" t="s">
        <v>3571</v>
      </c>
      <c r="E1971" s="3" t="s">
        <v>3620</v>
      </c>
      <c r="F1971" s="3" t="s">
        <v>3630</v>
      </c>
      <c r="G1971" s="49"/>
      <c r="H1971" s="46">
        <v>45199</v>
      </c>
      <c r="I1971" s="13">
        <v>2023</v>
      </c>
      <c r="J1971" s="16" t="s">
        <v>12</v>
      </c>
      <c r="K1971" s="16" t="s">
        <v>62</v>
      </c>
      <c r="L1971" s="3" t="s">
        <v>3616</v>
      </c>
      <c r="M1971" s="3" t="s">
        <v>3617</v>
      </c>
      <c r="N1971" s="3" t="s">
        <v>82</v>
      </c>
    </row>
    <row r="1972" spans="1:14" x14ac:dyDescent="0.3">
      <c r="A1972" s="36" t="s">
        <v>37</v>
      </c>
      <c r="B1972" s="13">
        <v>117</v>
      </c>
      <c r="C1972" s="48" t="str">
        <f t="shared" si="78"/>
        <v>P.L. 117-263</v>
      </c>
      <c r="D1972" s="3" t="s">
        <v>3571</v>
      </c>
      <c r="E1972" s="3" t="s">
        <v>3620</v>
      </c>
      <c r="F1972" s="3" t="s">
        <v>3631</v>
      </c>
      <c r="G1972" s="49"/>
      <c r="H1972" s="46">
        <v>45199</v>
      </c>
      <c r="I1972" s="13">
        <v>2023</v>
      </c>
      <c r="J1972" s="16" t="s">
        <v>12</v>
      </c>
      <c r="K1972" s="16" t="s">
        <v>62</v>
      </c>
      <c r="L1972" s="3" t="s">
        <v>3616</v>
      </c>
      <c r="M1972" s="3" t="s">
        <v>3617</v>
      </c>
      <c r="N1972" s="3" t="s">
        <v>55</v>
      </c>
    </row>
    <row r="1973" spans="1:14" x14ac:dyDescent="0.3">
      <c r="A1973" s="36" t="s">
        <v>37</v>
      </c>
      <c r="B1973" s="13">
        <v>117</v>
      </c>
      <c r="C1973" s="48" t="str">
        <f t="shared" si="78"/>
        <v>P.L. 117-263</v>
      </c>
      <c r="D1973" s="3" t="s">
        <v>3571</v>
      </c>
      <c r="E1973" s="3" t="s">
        <v>3620</v>
      </c>
      <c r="F1973" s="3" t="s">
        <v>3632</v>
      </c>
      <c r="G1973" s="49"/>
      <c r="H1973" s="46">
        <v>45199</v>
      </c>
      <c r="I1973" s="13">
        <v>2023</v>
      </c>
      <c r="J1973" s="16" t="s">
        <v>12</v>
      </c>
      <c r="K1973" s="16" t="s">
        <v>62</v>
      </c>
      <c r="L1973" s="3" t="s">
        <v>3616</v>
      </c>
      <c r="M1973" s="3" t="s">
        <v>3617</v>
      </c>
      <c r="N1973" s="3" t="s">
        <v>43</v>
      </c>
    </row>
    <row r="1974" spans="1:14" x14ac:dyDescent="0.3">
      <c r="A1974" s="36" t="s">
        <v>37</v>
      </c>
      <c r="B1974" s="13">
        <v>117</v>
      </c>
      <c r="C1974" s="48" t="str">
        <f t="shared" si="78"/>
        <v>P.L. 117-263</v>
      </c>
      <c r="D1974" s="3" t="s">
        <v>3571</v>
      </c>
      <c r="E1974" s="3" t="s">
        <v>3620</v>
      </c>
      <c r="F1974" s="3" t="s">
        <v>3633</v>
      </c>
      <c r="G1974" s="49"/>
      <c r="H1974" s="46">
        <v>45199</v>
      </c>
      <c r="I1974" s="13">
        <v>2023</v>
      </c>
      <c r="J1974" s="16" t="s">
        <v>12</v>
      </c>
      <c r="K1974" s="16" t="s">
        <v>62</v>
      </c>
      <c r="L1974" s="3" t="s">
        <v>3616</v>
      </c>
      <c r="M1974" s="3" t="s">
        <v>3617</v>
      </c>
      <c r="N1974" s="3" t="s">
        <v>43</v>
      </c>
    </row>
    <row r="1975" spans="1:14" x14ac:dyDescent="0.3">
      <c r="A1975" s="36" t="s">
        <v>37</v>
      </c>
      <c r="B1975" s="13">
        <v>117</v>
      </c>
      <c r="C1975" s="48" t="str">
        <f t="shared" si="78"/>
        <v>P.L. 117-263</v>
      </c>
      <c r="D1975" s="3" t="s">
        <v>3571</v>
      </c>
      <c r="E1975" s="3" t="s">
        <v>3620</v>
      </c>
      <c r="F1975" s="3" t="s">
        <v>3634</v>
      </c>
      <c r="G1975" s="49"/>
      <c r="H1975" s="46">
        <v>45199</v>
      </c>
      <c r="I1975" s="13">
        <v>2023</v>
      </c>
      <c r="J1975" s="16" t="s">
        <v>12</v>
      </c>
      <c r="K1975" s="16" t="s">
        <v>62</v>
      </c>
      <c r="L1975" s="3" t="s">
        <v>3616</v>
      </c>
      <c r="M1975" s="3" t="s">
        <v>3617</v>
      </c>
      <c r="N1975" s="3" t="s">
        <v>43</v>
      </c>
    </row>
    <row r="1976" spans="1:14" x14ac:dyDescent="0.3">
      <c r="A1976" s="36" t="s">
        <v>37</v>
      </c>
      <c r="B1976" s="13">
        <v>117</v>
      </c>
      <c r="C1976" s="48" t="str">
        <f t="shared" si="78"/>
        <v>P.L. 117-263</v>
      </c>
      <c r="D1976" s="3" t="s">
        <v>3571</v>
      </c>
      <c r="F1976" s="3" t="s">
        <v>3635</v>
      </c>
      <c r="G1976" s="48" t="str">
        <f>HYPERLINK("https://uscode.house.gov/view.xhtml?req=granuleid:USC-prelim-title22-section2431&amp;num=0&amp;edition=prelim", "22 U.S.C. 2431(d)")</f>
        <v>22 U.S.C. 2431(d)</v>
      </c>
      <c r="H1976" s="46">
        <v>46660</v>
      </c>
      <c r="I1976" s="13">
        <v>2027</v>
      </c>
      <c r="J1976" s="47">
        <v>20000000</v>
      </c>
      <c r="K1976" s="16" t="s">
        <v>62</v>
      </c>
      <c r="L1976" s="3" t="s">
        <v>80</v>
      </c>
      <c r="M1976" s="3" t="s">
        <v>81</v>
      </c>
      <c r="N1976" s="3" t="s">
        <v>82</v>
      </c>
    </row>
    <row r="1977" spans="1:14" x14ac:dyDescent="0.3">
      <c r="A1977" s="36" t="s">
        <v>37</v>
      </c>
      <c r="B1977" s="13">
        <v>117</v>
      </c>
      <c r="C1977" s="48" t="str">
        <f>HYPERLINK("https://uscode.house.gov/statutes/pl/117/287.pdf", "P.L. 117-287")</f>
        <v>P.L. 117-287</v>
      </c>
      <c r="D1977" s="3" t="s">
        <v>3636</v>
      </c>
      <c r="E1977" s="3" t="s">
        <v>1373</v>
      </c>
      <c r="F1977" s="3" t="s">
        <v>3637</v>
      </c>
      <c r="G1977" s="48" t="str">
        <f>HYPERLINK("https://uscode.house.gov/view.xhtml?req=granuleid:USC-prelim-title16-section941g&amp;num=0&amp;edition=prelim", "16 U.S.C. 941g((a))")</f>
        <v>16 U.S.C. 941g((a))</v>
      </c>
      <c r="H1977" s="46">
        <v>47026</v>
      </c>
      <c r="I1977" s="13">
        <v>2028</v>
      </c>
      <c r="J1977" s="47">
        <v>8000000</v>
      </c>
      <c r="K1977" s="16" t="s">
        <v>62</v>
      </c>
      <c r="L1977" s="3" t="s">
        <v>47</v>
      </c>
      <c r="M1977" s="3" t="s">
        <v>67</v>
      </c>
      <c r="N1977" s="3" t="s">
        <v>49</v>
      </c>
    </row>
    <row r="1978" spans="1:14" x14ac:dyDescent="0.3">
      <c r="A1978" s="36" t="s">
        <v>37</v>
      </c>
      <c r="B1978" s="13">
        <v>117</v>
      </c>
      <c r="C1978" s="48" t="str">
        <f>HYPERLINK("https://uscode.house.gov/statutes/pl/117/316.pdf", "P.L. 117-316")</f>
        <v>P.L. 117-316</v>
      </c>
      <c r="D1978" s="3" t="s">
        <v>3638</v>
      </c>
      <c r="E1978" s="3" t="s">
        <v>3639</v>
      </c>
      <c r="F1978" s="3" t="s">
        <v>3640</v>
      </c>
      <c r="G1978" s="49"/>
      <c r="H1978" s="46">
        <v>47756</v>
      </c>
      <c r="I1978" s="13">
        <v>2030</v>
      </c>
      <c r="J1978" s="47">
        <v>3500000</v>
      </c>
      <c r="K1978" s="16" t="s">
        <v>62</v>
      </c>
      <c r="L1978" s="3" t="s">
        <v>47</v>
      </c>
      <c r="M1978" s="3" t="s">
        <v>148</v>
      </c>
      <c r="N1978" s="3" t="s">
        <v>43</v>
      </c>
    </row>
    <row r="1979" spans="1:14" x14ac:dyDescent="0.3">
      <c r="A1979" s="36" t="s">
        <v>37</v>
      </c>
      <c r="B1979" s="13">
        <v>117</v>
      </c>
      <c r="C1979" s="48" t="str">
        <f>HYPERLINK("https://uscode.house.gov/statutes/pl/117/318.pdf", "P.L. 117-318")</f>
        <v>P.L. 117-318</v>
      </c>
      <c r="D1979" s="3" t="s">
        <v>3641</v>
      </c>
      <c r="E1979" s="3" t="s">
        <v>3642</v>
      </c>
      <c r="F1979" s="3" t="s">
        <v>3643</v>
      </c>
      <c r="G1979" s="49"/>
      <c r="H1979" s="46">
        <v>46660</v>
      </c>
      <c r="I1979" s="13">
        <v>2027</v>
      </c>
      <c r="J1979" s="47">
        <v>5000000</v>
      </c>
      <c r="K1979" s="16" t="s">
        <v>62</v>
      </c>
      <c r="L1979" s="3" t="s">
        <v>60</v>
      </c>
      <c r="M1979" s="3" t="s">
        <v>67</v>
      </c>
      <c r="N1979" s="3" t="s">
        <v>49</v>
      </c>
    </row>
    <row r="1980" spans="1:14" x14ac:dyDescent="0.3">
      <c r="A1980" s="36" t="s">
        <v>37</v>
      </c>
      <c r="B1980" s="13">
        <v>117</v>
      </c>
      <c r="C1980" s="48" t="str">
        <f>HYPERLINK("https://uscode.house.gov/statutes/pl/117/323.pdf", "P.L. 117-323")</f>
        <v>P.L. 117-323</v>
      </c>
      <c r="D1980" s="3" t="s">
        <v>3644</v>
      </c>
      <c r="E1980" s="3" t="s">
        <v>296</v>
      </c>
      <c r="F1980" s="3" t="s">
        <v>3645</v>
      </c>
      <c r="G1980" s="49"/>
      <c r="H1980" s="46">
        <v>46660</v>
      </c>
      <c r="I1980" s="13">
        <v>2027</v>
      </c>
      <c r="J1980" s="47">
        <v>2000000</v>
      </c>
      <c r="K1980" s="16" t="s">
        <v>62</v>
      </c>
      <c r="L1980" s="3" t="s">
        <v>41</v>
      </c>
      <c r="M1980" s="3" t="s">
        <v>42</v>
      </c>
      <c r="N1980" s="3" t="s">
        <v>43</v>
      </c>
    </row>
    <row r="1981" spans="1:14" x14ac:dyDescent="0.3">
      <c r="A1981" s="36" t="s">
        <v>37</v>
      </c>
      <c r="B1981" s="13">
        <v>117</v>
      </c>
      <c r="C1981" s="48" t="str">
        <f>HYPERLINK("https://uscode.house.gov/statutes/pl/117/325.pdf", "P.L. 117-325")</f>
        <v>P.L. 117-325</v>
      </c>
      <c r="D1981" s="3" t="s">
        <v>3646</v>
      </c>
      <c r="E1981" s="3" t="s">
        <v>222</v>
      </c>
      <c r="F1981" s="3" t="s">
        <v>3647</v>
      </c>
      <c r="G1981" s="48" t="str">
        <f>HYPERLINK("https://uscode.house.gov/view.xhtml?req=granuleid:USC-prelim-title34-section10381&amp;num=0&amp;edition=prelim", "34 U.S.C. 10381(n)(5)")</f>
        <v>34 U.S.C. 10381(n)(5)</v>
      </c>
      <c r="H1981" s="46">
        <v>46295</v>
      </c>
      <c r="I1981" s="13">
        <v>2026</v>
      </c>
      <c r="J1981" s="47">
        <v>1000000</v>
      </c>
      <c r="K1981" s="16" t="s">
        <v>62</v>
      </c>
      <c r="L1981" s="3" t="s">
        <v>41</v>
      </c>
      <c r="M1981" s="3" t="s">
        <v>42</v>
      </c>
      <c r="N1981" s="3" t="s">
        <v>43</v>
      </c>
    </row>
    <row r="1982" spans="1:14" x14ac:dyDescent="0.3">
      <c r="A1982" s="36" t="s">
        <v>37</v>
      </c>
      <c r="B1982" s="13">
        <v>117</v>
      </c>
      <c r="C1982" s="48" t="str">
        <f>HYPERLINK("https://uscode.house.gov/statutes/pl/117/325.pdf", "P.L. 117-325")</f>
        <v>P.L. 117-325</v>
      </c>
      <c r="D1982" s="3" t="s">
        <v>3646</v>
      </c>
      <c r="E1982" s="3" t="s">
        <v>222</v>
      </c>
      <c r="F1982" s="3" t="s">
        <v>3648</v>
      </c>
      <c r="G1982" s="48" t="str">
        <f>HYPERLINK("https://uscode.house.gov/view.xhtml?req=granuleid:USC-prelim-title34-section10151&amp;num=0&amp;edition=prelim", "34 U.S.C. 10151")</f>
        <v>34 U.S.C. 10151</v>
      </c>
      <c r="H1982" s="46">
        <v>46295</v>
      </c>
      <c r="I1982" s="13">
        <v>2026</v>
      </c>
      <c r="J1982" s="47">
        <v>50000000</v>
      </c>
      <c r="K1982" s="16" t="s">
        <v>62</v>
      </c>
      <c r="L1982" s="3" t="s">
        <v>41</v>
      </c>
      <c r="M1982" s="3" t="s">
        <v>42</v>
      </c>
      <c r="N1982" s="3" t="s">
        <v>43</v>
      </c>
    </row>
    <row r="1983" spans="1:14" x14ac:dyDescent="0.3">
      <c r="A1983" s="36" t="s">
        <v>37</v>
      </c>
      <c r="B1983" s="13">
        <v>117</v>
      </c>
      <c r="C1983" s="48" t="str">
        <f t="shared" ref="C1983:C2014" si="79">HYPERLINK("https://uscode.house.gov/statutes/pl/117/328.pdf", "P.L. 117-328")</f>
        <v>P.L. 117-328</v>
      </c>
      <c r="D1983" s="3" t="s">
        <v>3649</v>
      </c>
      <c r="E1983" s="3" t="s">
        <v>3650</v>
      </c>
      <c r="F1983" s="3" t="s">
        <v>3651</v>
      </c>
      <c r="G1983" s="49"/>
      <c r="H1983" s="46">
        <v>45199</v>
      </c>
      <c r="I1983" s="13">
        <v>2023</v>
      </c>
      <c r="J1983" s="47">
        <v>389000000</v>
      </c>
      <c r="K1983" s="16" t="s">
        <v>62</v>
      </c>
      <c r="L1983" s="3" t="s">
        <v>109</v>
      </c>
      <c r="M1983" s="3" t="s">
        <v>67</v>
      </c>
      <c r="N1983" s="3" t="s">
        <v>58</v>
      </c>
    </row>
    <row r="1984" spans="1:14" x14ac:dyDescent="0.3">
      <c r="A1984" s="36" t="s">
        <v>37</v>
      </c>
      <c r="B1984" s="13">
        <v>117</v>
      </c>
      <c r="C1984" s="48" t="str">
        <f t="shared" si="79"/>
        <v>P.L. 117-328</v>
      </c>
      <c r="D1984" s="3" t="s">
        <v>3649</v>
      </c>
      <c r="E1984" s="3" t="s">
        <v>3652</v>
      </c>
      <c r="F1984" s="3" t="s">
        <v>3653</v>
      </c>
      <c r="G1984" s="49"/>
      <c r="H1984" s="46">
        <v>45199</v>
      </c>
      <c r="I1984" s="13">
        <v>2023</v>
      </c>
      <c r="J1984" s="47">
        <v>5000000</v>
      </c>
      <c r="K1984" s="16" t="s">
        <v>62</v>
      </c>
      <c r="L1984" s="3" t="s">
        <v>265</v>
      </c>
      <c r="M1984" s="3" t="s">
        <v>266</v>
      </c>
      <c r="N1984" s="3" t="s">
        <v>267</v>
      </c>
    </row>
    <row r="1985" spans="1:14" x14ac:dyDescent="0.3">
      <c r="A1985" s="36" t="s">
        <v>37</v>
      </c>
      <c r="B1985" s="13">
        <v>117</v>
      </c>
      <c r="C1985" s="48" t="str">
        <f t="shared" si="79"/>
        <v>P.L. 117-328</v>
      </c>
      <c r="D1985" s="3" t="s">
        <v>3649</v>
      </c>
      <c r="E1985" s="3" t="s">
        <v>3654</v>
      </c>
      <c r="F1985" s="3" t="s">
        <v>3655</v>
      </c>
      <c r="G1985" s="49"/>
      <c r="H1985" s="46">
        <v>47026</v>
      </c>
      <c r="I1985" s="13">
        <v>2028</v>
      </c>
      <c r="J1985" s="47">
        <v>25000000</v>
      </c>
      <c r="K1985" s="16" t="s">
        <v>62</v>
      </c>
      <c r="L1985" s="3" t="s">
        <v>265</v>
      </c>
      <c r="M1985" s="3" t="s">
        <v>266</v>
      </c>
      <c r="N1985" s="3" t="s">
        <v>267</v>
      </c>
    </row>
    <row r="1986" spans="1:14" x14ac:dyDescent="0.3">
      <c r="A1986" s="36" t="s">
        <v>37</v>
      </c>
      <c r="B1986" s="13">
        <v>117</v>
      </c>
      <c r="C1986" s="48" t="str">
        <f t="shared" si="79"/>
        <v>P.L. 117-328</v>
      </c>
      <c r="D1986" s="3" t="s">
        <v>3649</v>
      </c>
      <c r="E1986" s="3" t="s">
        <v>3656</v>
      </c>
      <c r="F1986" s="3" t="s">
        <v>3657</v>
      </c>
      <c r="G1986" s="49"/>
      <c r="H1986" s="46">
        <v>45199</v>
      </c>
      <c r="I1986" s="13">
        <v>2023</v>
      </c>
      <c r="J1986" s="47">
        <v>5000000</v>
      </c>
      <c r="K1986" s="16" t="s">
        <v>62</v>
      </c>
      <c r="L1986" s="3" t="s">
        <v>265</v>
      </c>
      <c r="M1986" s="3" t="s">
        <v>266</v>
      </c>
      <c r="N1986" s="3" t="s">
        <v>267</v>
      </c>
    </row>
    <row r="1987" spans="1:14" x14ac:dyDescent="0.3">
      <c r="A1987" s="36" t="s">
        <v>37</v>
      </c>
      <c r="B1987" s="13">
        <v>117</v>
      </c>
      <c r="C1987" s="48" t="str">
        <f t="shared" si="79"/>
        <v>P.L. 117-328</v>
      </c>
      <c r="D1987" s="3" t="s">
        <v>3649</v>
      </c>
      <c r="E1987" s="3" t="s">
        <v>3658</v>
      </c>
      <c r="F1987" s="3" t="s">
        <v>3659</v>
      </c>
      <c r="G1987" s="49"/>
      <c r="H1987" s="46">
        <v>45199</v>
      </c>
      <c r="I1987" s="13">
        <v>2023</v>
      </c>
      <c r="J1987" s="47">
        <v>10000000</v>
      </c>
      <c r="K1987" s="16" t="s">
        <v>62</v>
      </c>
      <c r="L1987" s="3" t="s">
        <v>265</v>
      </c>
      <c r="M1987" s="3" t="s">
        <v>266</v>
      </c>
      <c r="N1987" s="3" t="s">
        <v>267</v>
      </c>
    </row>
    <row r="1988" spans="1:14" x14ac:dyDescent="0.3">
      <c r="A1988" s="36" t="s">
        <v>37</v>
      </c>
      <c r="B1988" s="13">
        <v>117</v>
      </c>
      <c r="C1988" s="48" t="str">
        <f t="shared" si="79"/>
        <v>P.L. 117-328</v>
      </c>
      <c r="D1988" s="3" t="s">
        <v>3649</v>
      </c>
      <c r="E1988" s="3" t="s">
        <v>3660</v>
      </c>
      <c r="F1988" s="3" t="s">
        <v>3661</v>
      </c>
      <c r="G1988" s="49"/>
      <c r="H1988" s="46">
        <v>45199</v>
      </c>
      <c r="I1988" s="13">
        <v>2023</v>
      </c>
      <c r="J1988" s="47">
        <v>6000000</v>
      </c>
      <c r="K1988" s="16" t="s">
        <v>62</v>
      </c>
      <c r="L1988" s="3" t="s">
        <v>47</v>
      </c>
      <c r="M1988" s="3" t="s">
        <v>48</v>
      </c>
      <c r="N1988" s="3" t="s">
        <v>58</v>
      </c>
    </row>
    <row r="1989" spans="1:14" x14ac:dyDescent="0.3">
      <c r="A1989" s="36" t="s">
        <v>37</v>
      </c>
      <c r="B1989" s="13">
        <v>117</v>
      </c>
      <c r="C1989" s="48" t="str">
        <f t="shared" si="79"/>
        <v>P.L. 117-328</v>
      </c>
      <c r="D1989" s="3" t="s">
        <v>3649</v>
      </c>
      <c r="E1989" s="3" t="s">
        <v>3662</v>
      </c>
      <c r="F1989" s="3" t="s">
        <v>3663</v>
      </c>
      <c r="G1989" s="48" t="str">
        <f>HYPERLINK("https://uscode.house.gov/view.xhtml?req=granuleid:USC-prelim-title43-section2241&amp;num=0&amp;edition=prelim", "43 U.S.C. 2241")</f>
        <v>43 U.S.C. 2241</v>
      </c>
      <c r="H1989" s="46">
        <v>45199</v>
      </c>
      <c r="I1989" s="13">
        <v>2023</v>
      </c>
      <c r="J1989" s="47">
        <v>130000000</v>
      </c>
      <c r="K1989" s="16" t="s">
        <v>62</v>
      </c>
      <c r="L1989" s="3" t="s">
        <v>47</v>
      </c>
      <c r="M1989" s="3" t="s">
        <v>48</v>
      </c>
      <c r="N1989" s="3" t="s">
        <v>58</v>
      </c>
    </row>
    <row r="1990" spans="1:14" x14ac:dyDescent="0.3">
      <c r="A1990" s="36" t="s">
        <v>37</v>
      </c>
      <c r="B1990" s="13">
        <v>117</v>
      </c>
      <c r="C1990" s="48" t="str">
        <f t="shared" si="79"/>
        <v>P.L. 117-328</v>
      </c>
      <c r="D1990" s="3" t="s">
        <v>3649</v>
      </c>
      <c r="E1990" s="3" t="s">
        <v>3664</v>
      </c>
      <c r="F1990" s="3" t="s">
        <v>3665</v>
      </c>
      <c r="G1990" s="49"/>
      <c r="H1990" s="46">
        <v>45199</v>
      </c>
      <c r="I1990" s="13">
        <v>2023</v>
      </c>
      <c r="J1990" s="47">
        <v>5000000</v>
      </c>
      <c r="K1990" s="16" t="s">
        <v>62</v>
      </c>
      <c r="L1990" s="3" t="s">
        <v>265</v>
      </c>
      <c r="M1990" s="3" t="s">
        <v>266</v>
      </c>
      <c r="N1990" s="3" t="s">
        <v>267</v>
      </c>
    </row>
    <row r="1991" spans="1:14" x14ac:dyDescent="0.3">
      <c r="A1991" s="36" t="s">
        <v>37</v>
      </c>
      <c r="B1991" s="13">
        <v>117</v>
      </c>
      <c r="C1991" s="48" t="str">
        <f t="shared" si="79"/>
        <v>P.L. 117-328</v>
      </c>
      <c r="D1991" s="3" t="s">
        <v>3649</v>
      </c>
      <c r="E1991" s="3" t="s">
        <v>3666</v>
      </c>
      <c r="F1991" s="3" t="s">
        <v>3667</v>
      </c>
      <c r="G1991" s="49"/>
      <c r="H1991" s="46">
        <v>45199</v>
      </c>
      <c r="I1991" s="13">
        <v>2023</v>
      </c>
      <c r="J1991" s="47">
        <v>12500000</v>
      </c>
      <c r="K1991" s="16" t="s">
        <v>62</v>
      </c>
      <c r="L1991" s="3" t="s">
        <v>109</v>
      </c>
      <c r="M1991" s="3" t="s">
        <v>148</v>
      </c>
      <c r="N1991" s="3" t="s">
        <v>158</v>
      </c>
    </row>
    <row r="1992" spans="1:14" x14ac:dyDescent="0.3">
      <c r="A1992" s="36" t="s">
        <v>37</v>
      </c>
      <c r="B1992" s="13">
        <v>117</v>
      </c>
      <c r="C1992" s="48" t="str">
        <f t="shared" si="79"/>
        <v>P.L. 117-328</v>
      </c>
      <c r="D1992" s="3" t="s">
        <v>3649</v>
      </c>
      <c r="E1992" s="3" t="s">
        <v>3668</v>
      </c>
      <c r="F1992" s="3" t="s">
        <v>3669</v>
      </c>
      <c r="G1992" s="48" t="str">
        <f>HYPERLINK("https://uscode.house.gov/view.xhtml?req=granuleid:USC-prelim-title16-section1861a&amp;num=0&amp;edition=prelim", "16 U.S.C. 1861a((a))")</f>
        <v>16 U.S.C. 1861a((a))</v>
      </c>
      <c r="H1992" s="46">
        <v>46660</v>
      </c>
      <c r="I1992" s="13">
        <v>2027</v>
      </c>
      <c r="J1992" s="47">
        <v>377000000</v>
      </c>
      <c r="K1992" s="16" t="s">
        <v>62</v>
      </c>
      <c r="L1992" s="3" t="s">
        <v>47</v>
      </c>
      <c r="M1992" s="3" t="s">
        <v>48</v>
      </c>
      <c r="N1992" s="3" t="s">
        <v>43</v>
      </c>
    </row>
    <row r="1993" spans="1:14" x14ac:dyDescent="0.3">
      <c r="A1993" s="36" t="s">
        <v>37</v>
      </c>
      <c r="B1993" s="13">
        <v>117</v>
      </c>
      <c r="C1993" s="48" t="str">
        <f t="shared" si="79"/>
        <v>P.L. 117-328</v>
      </c>
      <c r="D1993" s="3" t="s">
        <v>3649</v>
      </c>
      <c r="E1993" s="3" t="s">
        <v>3670</v>
      </c>
      <c r="F1993" s="3" t="s">
        <v>3671</v>
      </c>
      <c r="G1993" s="49"/>
      <c r="H1993" s="46">
        <v>47391</v>
      </c>
      <c r="I1993" s="13">
        <v>2029</v>
      </c>
      <c r="J1993" s="47">
        <v>16000000</v>
      </c>
      <c r="K1993" s="16" t="s">
        <v>62</v>
      </c>
      <c r="L1993" s="3" t="s">
        <v>156</v>
      </c>
      <c r="M1993" s="3" t="s">
        <v>418</v>
      </c>
      <c r="N1993" s="3" t="s">
        <v>55</v>
      </c>
    </row>
    <row r="1994" spans="1:14" x14ac:dyDescent="0.3">
      <c r="A1994" s="36" t="s">
        <v>37</v>
      </c>
      <c r="B1994" s="13">
        <v>117</v>
      </c>
      <c r="C1994" s="48" t="str">
        <f t="shared" si="79"/>
        <v>P.L. 117-328</v>
      </c>
      <c r="D1994" s="3" t="s">
        <v>3649</v>
      </c>
      <c r="E1994" s="3" t="s">
        <v>3672</v>
      </c>
      <c r="F1994" s="3" t="s">
        <v>3673</v>
      </c>
      <c r="G1994" s="49"/>
      <c r="H1994" s="46">
        <v>47391</v>
      </c>
      <c r="I1994" s="13">
        <v>2029</v>
      </c>
      <c r="J1994" s="16" t="s">
        <v>12</v>
      </c>
      <c r="K1994" s="16" t="s">
        <v>62</v>
      </c>
      <c r="L1994" s="3" t="s">
        <v>156</v>
      </c>
      <c r="M1994" s="3" t="s">
        <v>418</v>
      </c>
      <c r="N1994" s="3" t="s">
        <v>55</v>
      </c>
    </row>
    <row r="1995" spans="1:14" x14ac:dyDescent="0.3">
      <c r="A1995" s="36" t="s">
        <v>37</v>
      </c>
      <c r="B1995" s="13">
        <v>117</v>
      </c>
      <c r="C1995" s="48" t="str">
        <f t="shared" si="79"/>
        <v>P.L. 117-328</v>
      </c>
      <c r="D1995" s="3" t="s">
        <v>3649</v>
      </c>
      <c r="E1995" s="3" t="s">
        <v>3674</v>
      </c>
      <c r="F1995" s="3" t="s">
        <v>3675</v>
      </c>
      <c r="G1995" s="49"/>
      <c r="H1995" s="46">
        <v>45199</v>
      </c>
      <c r="I1995" s="13">
        <v>2023</v>
      </c>
      <c r="J1995" s="47">
        <v>5000000</v>
      </c>
      <c r="K1995" s="16" t="s">
        <v>62</v>
      </c>
      <c r="L1995" s="3" t="s">
        <v>265</v>
      </c>
      <c r="M1995" s="3" t="s">
        <v>266</v>
      </c>
      <c r="N1995" s="3" t="s">
        <v>267</v>
      </c>
    </row>
    <row r="1996" spans="1:14" x14ac:dyDescent="0.3">
      <c r="A1996" s="36" t="s">
        <v>37</v>
      </c>
      <c r="B1996" s="13">
        <v>117</v>
      </c>
      <c r="C1996" s="48" t="str">
        <f t="shared" si="79"/>
        <v>P.L. 117-328</v>
      </c>
      <c r="D1996" s="3" t="s">
        <v>3649</v>
      </c>
      <c r="E1996" s="3" t="s">
        <v>3676</v>
      </c>
      <c r="F1996" s="3" t="s">
        <v>3677</v>
      </c>
      <c r="G1996" s="48" t="str">
        <f>HYPERLINK("https://uscode.house.gov/view.xhtml?req=granuleid:USC-prelim-title38-section1701&amp;num=0&amp;edition=prelim", "38 U.S.C. 1701(Note)")</f>
        <v>38 U.S.C. 1701(Note)</v>
      </c>
      <c r="H1996" s="46">
        <v>47026</v>
      </c>
      <c r="I1996" s="13">
        <v>2028</v>
      </c>
      <c r="J1996" s="47">
        <v>25000000</v>
      </c>
      <c r="K1996" s="16" t="s">
        <v>62</v>
      </c>
      <c r="L1996" s="3" t="s">
        <v>265</v>
      </c>
      <c r="M1996" s="3" t="s">
        <v>266</v>
      </c>
      <c r="N1996" s="3" t="s">
        <v>267</v>
      </c>
    </row>
    <row r="1997" spans="1:14" x14ac:dyDescent="0.3">
      <c r="A1997" s="36" t="s">
        <v>37</v>
      </c>
      <c r="B1997" s="13">
        <v>117</v>
      </c>
      <c r="C1997" s="48" t="str">
        <f t="shared" si="79"/>
        <v>P.L. 117-328</v>
      </c>
      <c r="D1997" s="3" t="s">
        <v>3649</v>
      </c>
      <c r="E1997" s="3" t="s">
        <v>3678</v>
      </c>
      <c r="F1997" s="3" t="s">
        <v>3679</v>
      </c>
      <c r="G1997" s="49"/>
      <c r="H1997" s="46">
        <v>46660</v>
      </c>
      <c r="I1997" s="13">
        <v>2027</v>
      </c>
      <c r="J1997" s="16" t="s">
        <v>12</v>
      </c>
      <c r="K1997" s="16" t="s">
        <v>62</v>
      </c>
      <c r="L1997" s="3" t="s">
        <v>156</v>
      </c>
      <c r="M1997" s="3" t="s">
        <v>157</v>
      </c>
      <c r="N1997" s="3" t="s">
        <v>158</v>
      </c>
    </row>
    <row r="1998" spans="1:14" x14ac:dyDescent="0.3">
      <c r="A1998" s="36" t="s">
        <v>37</v>
      </c>
      <c r="B1998" s="13">
        <v>117</v>
      </c>
      <c r="C1998" s="48" t="str">
        <f t="shared" si="79"/>
        <v>P.L. 117-328</v>
      </c>
      <c r="D1998" s="3" t="s">
        <v>3649</v>
      </c>
      <c r="E1998" s="3" t="s">
        <v>3680</v>
      </c>
      <c r="F1998" s="3" t="s">
        <v>3681</v>
      </c>
      <c r="G1998" s="48" t="str">
        <f>HYPERLINK("https://uscode.house.gov/view.xhtml?req=granuleid:USC-prelim-title15-section8004&amp;num=0&amp;edition=prelim", "15 U.S.C. 8004(e)")</f>
        <v>15 U.S.C. 8004(e)</v>
      </c>
      <c r="H1998" s="46">
        <v>45199</v>
      </c>
      <c r="I1998" s="13">
        <v>2023</v>
      </c>
      <c r="J1998" s="47">
        <v>2500000</v>
      </c>
      <c r="K1998" s="16" t="s">
        <v>62</v>
      </c>
      <c r="L1998" s="3" t="s">
        <v>60</v>
      </c>
      <c r="M1998" s="3" t="s">
        <v>148</v>
      </c>
      <c r="N1998" s="3" t="s">
        <v>55</v>
      </c>
    </row>
    <row r="1999" spans="1:14" x14ac:dyDescent="0.3">
      <c r="A1999" s="36" t="s">
        <v>37</v>
      </c>
      <c r="B1999" s="13">
        <v>117</v>
      </c>
      <c r="C1999" s="48" t="str">
        <f t="shared" si="79"/>
        <v>P.L. 117-328</v>
      </c>
      <c r="D1999" s="3" t="s">
        <v>3649</v>
      </c>
      <c r="E1999" s="3" t="s">
        <v>3682</v>
      </c>
      <c r="F1999" s="3" t="s">
        <v>3683</v>
      </c>
      <c r="G1999" s="48" t="str">
        <f>HYPERLINK("https://uscode.house.gov/view.xhtml?req=granuleid:USC-prelim-title15-section8006&amp;num=0&amp;edition=prelim", "15 U.S.C. 8006")</f>
        <v>15 U.S.C. 8006</v>
      </c>
      <c r="H1999" s="46">
        <v>45199</v>
      </c>
      <c r="I1999" s="13">
        <v>2023</v>
      </c>
      <c r="J1999" s="47">
        <v>2500000</v>
      </c>
      <c r="K1999" s="16" t="s">
        <v>62</v>
      </c>
      <c r="L1999" s="3" t="s">
        <v>60</v>
      </c>
      <c r="M1999" s="3" t="s">
        <v>148</v>
      </c>
      <c r="N1999" s="3" t="s">
        <v>55</v>
      </c>
    </row>
    <row r="2000" spans="1:14" x14ac:dyDescent="0.3">
      <c r="A2000" s="36" t="s">
        <v>37</v>
      </c>
      <c r="B2000" s="13">
        <v>117</v>
      </c>
      <c r="C2000" s="48" t="str">
        <f t="shared" si="79"/>
        <v>P.L. 117-328</v>
      </c>
      <c r="D2000" s="3" t="s">
        <v>3649</v>
      </c>
      <c r="E2000" s="3" t="s">
        <v>3684</v>
      </c>
      <c r="F2000" s="3" t="s">
        <v>3685</v>
      </c>
      <c r="G2000" s="48" t="str">
        <f>HYPERLINK("https://uscode.house.gov/view.xhtml?req=granuleid:USC-prelim-title54-section308601&amp;num=0&amp;edition=prelim", "54 U.S.C. 308601")</f>
        <v>54 U.S.C. 308601</v>
      </c>
      <c r="H2000" s="46">
        <v>46660</v>
      </c>
      <c r="I2000" s="13">
        <v>2027</v>
      </c>
      <c r="J2000" s="47">
        <v>3000000</v>
      </c>
      <c r="K2000" s="16" t="s">
        <v>62</v>
      </c>
      <c r="L2000" s="3" t="s">
        <v>47</v>
      </c>
      <c r="M2000" s="3" t="s">
        <v>48</v>
      </c>
      <c r="N2000" s="3" t="s">
        <v>49</v>
      </c>
    </row>
    <row r="2001" spans="1:14" x14ac:dyDescent="0.3">
      <c r="A2001" s="36" t="s">
        <v>37</v>
      </c>
      <c r="B2001" s="13">
        <v>117</v>
      </c>
      <c r="C2001" s="48" t="str">
        <f t="shared" si="79"/>
        <v>P.L. 117-328</v>
      </c>
      <c r="D2001" s="3" t="s">
        <v>3649</v>
      </c>
      <c r="E2001" s="3" t="s">
        <v>3686</v>
      </c>
      <c r="F2001" s="3" t="s">
        <v>3687</v>
      </c>
      <c r="G2001" s="48" t="str">
        <f>HYPERLINK("https://uscode.house.gov/view.xhtml?req=granuleid:USC-prelim-title54-section101122&amp;num=0&amp;edition=prelim", "54 U.S.C. 101122(a)")</f>
        <v>54 U.S.C. 101122(a)</v>
      </c>
      <c r="H2001" s="46">
        <v>47756</v>
      </c>
      <c r="I2001" s="13">
        <v>2030</v>
      </c>
      <c r="J2001" s="47">
        <v>15000000</v>
      </c>
      <c r="K2001" s="16" t="s">
        <v>62</v>
      </c>
      <c r="L2001" s="3" t="s">
        <v>47</v>
      </c>
      <c r="M2001" s="3" t="s">
        <v>48</v>
      </c>
      <c r="N2001" s="3" t="s">
        <v>49</v>
      </c>
    </row>
    <row r="2002" spans="1:14" x14ac:dyDescent="0.3">
      <c r="A2002" s="36" t="s">
        <v>37</v>
      </c>
      <c r="B2002" s="13">
        <v>117</v>
      </c>
      <c r="C2002" s="48" t="str">
        <f t="shared" si="79"/>
        <v>P.L. 117-328</v>
      </c>
      <c r="D2002" s="3" t="s">
        <v>3649</v>
      </c>
      <c r="E2002" s="3" t="s">
        <v>3688</v>
      </c>
      <c r="F2002" s="3" t="s">
        <v>3689</v>
      </c>
      <c r="G2002" s="48" t="str">
        <f>HYPERLINK("https://uscode.house.gov/view.xhtml?req=granuleid:USC-prelim-title42-section290aa&amp;num=0&amp;edition=prelim", "42 U.S.C. 290aa")</f>
        <v>42 U.S.C. 290aa</v>
      </c>
      <c r="H2002" s="46">
        <v>46660</v>
      </c>
      <c r="I2002" s="13">
        <v>2027</v>
      </c>
      <c r="J2002" s="47">
        <v>5000000</v>
      </c>
      <c r="K2002" s="16" t="s">
        <v>62</v>
      </c>
      <c r="L2002" s="3" t="s">
        <v>60</v>
      </c>
      <c r="M2002" s="3" t="s">
        <v>71</v>
      </c>
      <c r="N2002" s="3" t="s">
        <v>72</v>
      </c>
    </row>
    <row r="2003" spans="1:14" x14ac:dyDescent="0.3">
      <c r="A2003" s="36" t="s">
        <v>37</v>
      </c>
      <c r="B2003" s="13">
        <v>117</v>
      </c>
      <c r="C2003" s="48" t="str">
        <f t="shared" si="79"/>
        <v>P.L. 117-328</v>
      </c>
      <c r="D2003" s="3" t="s">
        <v>3649</v>
      </c>
      <c r="E2003" s="3" t="s">
        <v>3690</v>
      </c>
      <c r="F2003" s="3" t="s">
        <v>3691</v>
      </c>
      <c r="G2003" s="48" t="str">
        <f>HYPERLINK("https://uscode.house.gov/view.xhtml?req=granuleid:USC-prelim-title42-section290bb-36c&amp;num=0&amp;edition=prelim", "42 U.S.C. 290bb-36c(c)")</f>
        <v>42 U.S.C. 290bb-36c(c)</v>
      </c>
      <c r="H2003" s="46">
        <v>46660</v>
      </c>
      <c r="I2003" s="13">
        <v>2027</v>
      </c>
      <c r="J2003" s="47">
        <v>101621000</v>
      </c>
      <c r="K2003" s="16" t="s">
        <v>62</v>
      </c>
      <c r="L2003" s="3" t="s">
        <v>60</v>
      </c>
      <c r="M2003" s="3" t="s">
        <v>71</v>
      </c>
      <c r="N2003" s="3" t="s">
        <v>72</v>
      </c>
    </row>
    <row r="2004" spans="1:14" x14ac:dyDescent="0.3">
      <c r="A2004" s="36" t="s">
        <v>37</v>
      </c>
      <c r="B2004" s="13">
        <v>117</v>
      </c>
      <c r="C2004" s="48" t="str">
        <f t="shared" si="79"/>
        <v>P.L. 117-328</v>
      </c>
      <c r="D2004" s="3" t="s">
        <v>3649</v>
      </c>
      <c r="E2004" s="3" t="s">
        <v>3692</v>
      </c>
      <c r="F2004" s="3" t="s">
        <v>3693</v>
      </c>
      <c r="G2004" s="48" t="str">
        <f>HYPERLINK("https://uscode.house.gov/view.xhtml?req=granuleid:USC-prelim-title42-section247b-13a&amp;num=0&amp;edition=prelim", "42 U.S.C. 247b-13a(e)")</f>
        <v>42 U.S.C. 247b-13a(e)</v>
      </c>
      <c r="H2004" s="46">
        <v>46660</v>
      </c>
      <c r="I2004" s="13">
        <v>2027</v>
      </c>
      <c r="J2004" s="47">
        <v>24000000</v>
      </c>
      <c r="K2004" s="16" t="s">
        <v>62</v>
      </c>
      <c r="L2004" s="3" t="s">
        <v>60</v>
      </c>
      <c r="M2004" s="3" t="s">
        <v>71</v>
      </c>
      <c r="N2004" s="3" t="s">
        <v>72</v>
      </c>
    </row>
    <row r="2005" spans="1:14" x14ac:dyDescent="0.3">
      <c r="A2005" s="36" t="s">
        <v>37</v>
      </c>
      <c r="B2005" s="13">
        <v>117</v>
      </c>
      <c r="C2005" s="48" t="str">
        <f t="shared" si="79"/>
        <v>P.L. 117-328</v>
      </c>
      <c r="D2005" s="3" t="s">
        <v>3649</v>
      </c>
      <c r="E2005" s="3" t="s">
        <v>2846</v>
      </c>
      <c r="F2005" s="3" t="s">
        <v>3694</v>
      </c>
      <c r="G2005" s="48" t="str">
        <f>HYPERLINK("https://uscode.house.gov/view.xhtml?req=granuleid:USC-prelim-title42-section280g&amp;num=0&amp;edition=prelim", "42 U.S.C. 280g")</f>
        <v>42 U.S.C. 280g</v>
      </c>
      <c r="H2005" s="46">
        <v>46660</v>
      </c>
      <c r="I2005" s="13">
        <v>2027</v>
      </c>
      <c r="J2005" s="47">
        <v>10000000</v>
      </c>
      <c r="K2005" s="16" t="s">
        <v>62</v>
      </c>
      <c r="L2005" s="3" t="s">
        <v>60</v>
      </c>
      <c r="M2005" s="3" t="s">
        <v>71</v>
      </c>
      <c r="N2005" s="3" t="s">
        <v>72</v>
      </c>
    </row>
    <row r="2006" spans="1:14" x14ac:dyDescent="0.3">
      <c r="A2006" s="36" t="s">
        <v>37</v>
      </c>
      <c r="B2006" s="13">
        <v>117</v>
      </c>
      <c r="C2006" s="48" t="str">
        <f t="shared" si="79"/>
        <v>P.L. 117-328</v>
      </c>
      <c r="D2006" s="3" t="s">
        <v>3649</v>
      </c>
      <c r="E2006" s="3" t="s">
        <v>3695</v>
      </c>
      <c r="F2006" s="3" t="s">
        <v>3696</v>
      </c>
      <c r="G2006" s="48" t="str">
        <f>HYPERLINK("https://uscode.house.gov/view.xhtml?req=granuleid:USC-prelim-title42-section290aa-0&amp;num=0&amp;edition=prelim", "42 U.S.C. 290aa-0(f)(3)")</f>
        <v>42 U.S.C. 290aa-0(f)(3)</v>
      </c>
      <c r="H2006" s="46">
        <v>46660</v>
      </c>
      <c r="I2006" s="13">
        <v>2027</v>
      </c>
      <c r="J2006" s="47">
        <v>10000000</v>
      </c>
      <c r="K2006" s="16" t="s">
        <v>62</v>
      </c>
      <c r="L2006" s="3" t="s">
        <v>60</v>
      </c>
      <c r="M2006" s="3" t="s">
        <v>71</v>
      </c>
      <c r="N2006" s="3" t="s">
        <v>72</v>
      </c>
    </row>
    <row r="2007" spans="1:14" x14ac:dyDescent="0.3">
      <c r="A2007" s="36" t="s">
        <v>37</v>
      </c>
      <c r="B2007" s="13">
        <v>117</v>
      </c>
      <c r="C2007" s="48" t="str">
        <f t="shared" si="79"/>
        <v>P.L. 117-328</v>
      </c>
      <c r="D2007" s="3" t="s">
        <v>3649</v>
      </c>
      <c r="E2007" s="3" t="s">
        <v>3697</v>
      </c>
      <c r="F2007" s="3" t="s">
        <v>3698</v>
      </c>
      <c r="G2007" s="48" t="str">
        <f>HYPERLINK("https://uscode.house.gov/view.xhtml?req=granuleid:USC-prelim-title42-section290bb-37&amp;num=0&amp;edition=prelim", "42 U.S.C. 290bb-37(e)")</f>
        <v>42 U.S.C. 290bb-37(e)</v>
      </c>
      <c r="H2007" s="46">
        <v>46660</v>
      </c>
      <c r="I2007" s="13">
        <v>2027</v>
      </c>
      <c r="J2007" s="47">
        <v>10000000</v>
      </c>
      <c r="K2007" s="16" t="s">
        <v>62</v>
      </c>
      <c r="L2007" s="3" t="s">
        <v>60</v>
      </c>
      <c r="M2007" s="3" t="s">
        <v>71</v>
      </c>
      <c r="N2007" s="3" t="s">
        <v>72</v>
      </c>
    </row>
    <row r="2008" spans="1:14" x14ac:dyDescent="0.3">
      <c r="A2008" s="36" t="s">
        <v>37</v>
      </c>
      <c r="B2008" s="13">
        <v>117</v>
      </c>
      <c r="C2008" s="48" t="str">
        <f t="shared" si="79"/>
        <v>P.L. 117-328</v>
      </c>
      <c r="D2008" s="3" t="s">
        <v>3649</v>
      </c>
      <c r="E2008" s="3" t="s">
        <v>3699</v>
      </c>
      <c r="F2008" s="3" t="s">
        <v>3700</v>
      </c>
      <c r="G2008" s="48" t="str">
        <f>HYPERLINK("https://uscode.house.gov/view.xhtml?req=granuleid:USC-prelim-title42-section290bb-41&amp;num=0&amp;edition=prelim", "42 U.S.C. 290bb-41(b)(8)")</f>
        <v>42 U.S.C. 290bb-41(b)(8)</v>
      </c>
      <c r="H2008" s="46">
        <v>46660</v>
      </c>
      <c r="I2008" s="13">
        <v>2027</v>
      </c>
      <c r="J2008" s="47">
        <v>24693000</v>
      </c>
      <c r="K2008" s="16" t="s">
        <v>62</v>
      </c>
      <c r="L2008" s="3" t="s">
        <v>60</v>
      </c>
      <c r="M2008" s="3" t="s">
        <v>71</v>
      </c>
      <c r="N2008" s="3" t="s">
        <v>72</v>
      </c>
    </row>
    <row r="2009" spans="1:14" x14ac:dyDescent="0.3">
      <c r="A2009" s="36" t="s">
        <v>37</v>
      </c>
      <c r="B2009" s="13">
        <v>117</v>
      </c>
      <c r="C2009" s="48" t="str">
        <f t="shared" si="79"/>
        <v>P.L. 117-328</v>
      </c>
      <c r="D2009" s="3" t="s">
        <v>3649</v>
      </c>
      <c r="E2009" s="3" t="s">
        <v>3701</v>
      </c>
      <c r="F2009" s="3" t="s">
        <v>3702</v>
      </c>
      <c r="G2009" s="48" t="str">
        <f>HYPERLINK("https://uscode.house.gov/view.xhtml?req=granuleid:USC-prelim-title42-section290bb-43&amp;num=0&amp;edition=prelim", "42 U.S.C. 290bb-43")</f>
        <v>42 U.S.C. 290bb-43</v>
      </c>
      <c r="H2009" s="46">
        <v>46660</v>
      </c>
      <c r="I2009" s="13">
        <v>2027</v>
      </c>
      <c r="J2009" s="47">
        <v>30000000</v>
      </c>
      <c r="K2009" s="16" t="s">
        <v>62</v>
      </c>
      <c r="L2009" s="3" t="s">
        <v>60</v>
      </c>
      <c r="M2009" s="3" t="s">
        <v>71</v>
      </c>
      <c r="N2009" s="3" t="s">
        <v>72</v>
      </c>
    </row>
    <row r="2010" spans="1:14" x14ac:dyDescent="0.3">
      <c r="A2010" s="36" t="s">
        <v>37</v>
      </c>
      <c r="B2010" s="13">
        <v>117</v>
      </c>
      <c r="C2010" s="48" t="str">
        <f t="shared" si="79"/>
        <v>P.L. 117-328</v>
      </c>
      <c r="D2010" s="3" t="s">
        <v>3649</v>
      </c>
      <c r="E2010" s="3" t="s">
        <v>3703</v>
      </c>
      <c r="F2010" s="3" t="s">
        <v>3704</v>
      </c>
      <c r="G2010" s="48" t="str">
        <f>HYPERLINK("https://uscode.house.gov/view.xhtml?req=granuleid:USC-prelim-title42-section290bb&amp;num=0&amp;edition=prelim", "42 U.S.C. 290bb(44)(b)")</f>
        <v>42 U.S.C. 290bb(44)(b)</v>
      </c>
      <c r="H2010" s="46">
        <v>46660</v>
      </c>
      <c r="I2010" s="13">
        <v>2027</v>
      </c>
      <c r="J2010" s="47">
        <v>9000000</v>
      </c>
      <c r="K2010" s="16" t="s">
        <v>62</v>
      </c>
      <c r="L2010" s="3" t="s">
        <v>60</v>
      </c>
      <c r="M2010" s="3" t="s">
        <v>71</v>
      </c>
      <c r="N2010" s="3" t="s">
        <v>72</v>
      </c>
    </row>
    <row r="2011" spans="1:14" x14ac:dyDescent="0.3">
      <c r="A2011" s="36" t="s">
        <v>37</v>
      </c>
      <c r="B2011" s="13">
        <v>117</v>
      </c>
      <c r="C2011" s="48" t="str">
        <f t="shared" si="79"/>
        <v>P.L. 117-328</v>
      </c>
      <c r="D2011" s="3" t="s">
        <v>3649</v>
      </c>
      <c r="E2011" s="3" t="s">
        <v>3705</v>
      </c>
      <c r="F2011" s="3" t="s">
        <v>3706</v>
      </c>
      <c r="G2011" s="48" t="str">
        <f>HYPERLINK("https://uscode.house.gov/view.xhtml?req=granuleid:USC-prelim-title42-section290aa&amp;num=0&amp;edition=prelim", "42 U.S.C. 290aa(44)(b)")</f>
        <v>42 U.S.C. 290aa(44)(b)</v>
      </c>
      <c r="H2011" s="46">
        <v>46660</v>
      </c>
      <c r="I2011" s="13">
        <v>2027</v>
      </c>
      <c r="J2011" s="47">
        <v>22000000</v>
      </c>
      <c r="K2011" s="16" t="s">
        <v>62</v>
      </c>
      <c r="L2011" s="3" t="s">
        <v>60</v>
      </c>
      <c r="M2011" s="3" t="s">
        <v>71</v>
      </c>
      <c r="N2011" s="3" t="s">
        <v>72</v>
      </c>
    </row>
    <row r="2012" spans="1:14" x14ac:dyDescent="0.3">
      <c r="A2012" s="36" t="s">
        <v>37</v>
      </c>
      <c r="B2012" s="13">
        <v>117</v>
      </c>
      <c r="C2012" s="48" t="str">
        <f t="shared" si="79"/>
        <v>P.L. 117-328</v>
      </c>
      <c r="D2012" s="3" t="s">
        <v>3649</v>
      </c>
      <c r="E2012" s="3" t="s">
        <v>3707</v>
      </c>
      <c r="F2012" s="3" t="s">
        <v>3708</v>
      </c>
      <c r="G2012" s="48" t="str">
        <f>HYPERLINK("https://uscode.house.gov/view.xhtml?req=granuleid:USC-prelim-title42-section290bb&amp;num=0&amp;edition=prelim", "42 U.S.C. 290bb(31)")</f>
        <v>42 U.S.C. 290bb(31)</v>
      </c>
      <c r="H2012" s="46">
        <v>46660</v>
      </c>
      <c r="I2012" s="13">
        <v>2027</v>
      </c>
      <c r="J2012" s="47">
        <v>1000000</v>
      </c>
      <c r="K2012" s="16" t="s">
        <v>62</v>
      </c>
      <c r="L2012" s="3" t="s">
        <v>60</v>
      </c>
      <c r="M2012" s="3" t="s">
        <v>71</v>
      </c>
      <c r="N2012" s="3" t="s">
        <v>72</v>
      </c>
    </row>
    <row r="2013" spans="1:14" x14ac:dyDescent="0.3">
      <c r="A2013" s="36" t="s">
        <v>37</v>
      </c>
      <c r="B2013" s="13">
        <v>117</v>
      </c>
      <c r="C2013" s="48" t="str">
        <f t="shared" si="79"/>
        <v>P.L. 117-328</v>
      </c>
      <c r="D2013" s="3" t="s">
        <v>3649</v>
      </c>
      <c r="E2013" s="3" t="s">
        <v>3709</v>
      </c>
      <c r="F2013" s="3" t="s">
        <v>3710</v>
      </c>
      <c r="G2013" s="48" t="str">
        <f>HYPERLINK("https://uscode.house.gov/view.xhtml?req=granuleid:USC-prelim-title42-section300x-9&amp;num=0&amp;edition=prelim", "42 U.S.C. 300x-9(a)")</f>
        <v>42 U.S.C. 300x-9(a)</v>
      </c>
      <c r="H2013" s="46">
        <v>46660</v>
      </c>
      <c r="I2013" s="13">
        <v>2027</v>
      </c>
      <c r="J2013" s="47">
        <v>857571000</v>
      </c>
      <c r="K2013" s="16" t="s">
        <v>62</v>
      </c>
      <c r="L2013" s="3" t="s">
        <v>60</v>
      </c>
      <c r="M2013" s="3" t="s">
        <v>71</v>
      </c>
      <c r="N2013" s="3" t="s">
        <v>72</v>
      </c>
    </row>
    <row r="2014" spans="1:14" x14ac:dyDescent="0.3">
      <c r="A2014" s="36" t="s">
        <v>37</v>
      </c>
      <c r="B2014" s="13">
        <v>117</v>
      </c>
      <c r="C2014" s="48" t="str">
        <f t="shared" si="79"/>
        <v>P.L. 117-328</v>
      </c>
      <c r="D2014" s="3" t="s">
        <v>3649</v>
      </c>
      <c r="E2014" s="3" t="s">
        <v>3711</v>
      </c>
      <c r="F2014" s="3" t="s">
        <v>3712</v>
      </c>
      <c r="G2014" s="48" t="str">
        <f>HYPERLINK("https://uscode.house.gov/view.xhtml?req=granuleid:USC-prelim-title42-section290bb&amp;num=0&amp;edition=prelim", "42 U.S.C. 290bb(39)")</f>
        <v>42 U.S.C. 290bb(39)</v>
      </c>
      <c r="H2014" s="46">
        <v>46660</v>
      </c>
      <c r="I2014" s="13">
        <v>2027</v>
      </c>
      <c r="J2014" s="47">
        <v>13000000</v>
      </c>
      <c r="K2014" s="16" t="s">
        <v>62</v>
      </c>
      <c r="L2014" s="3" t="s">
        <v>60</v>
      </c>
      <c r="M2014" s="3" t="s">
        <v>71</v>
      </c>
      <c r="N2014" s="3" t="s">
        <v>72</v>
      </c>
    </row>
    <row r="2015" spans="1:14" x14ac:dyDescent="0.3">
      <c r="A2015" s="36" t="s">
        <v>37</v>
      </c>
      <c r="B2015" s="13">
        <v>117</v>
      </c>
      <c r="C2015" s="48" t="str">
        <f t="shared" ref="C2015:C2046" si="80">HYPERLINK("https://uscode.house.gov/statutes/pl/117/328.pdf", "P.L. 117-328")</f>
        <v>P.L. 117-328</v>
      </c>
      <c r="D2015" s="3" t="s">
        <v>3649</v>
      </c>
      <c r="E2015" s="3" t="s">
        <v>3713</v>
      </c>
      <c r="F2015" s="3" t="s">
        <v>3714</v>
      </c>
      <c r="G2015" s="48" t="str">
        <f>HYPERLINK("https://uscode.house.gov/view.xhtml?req=granuleid:USC-prelim-title42-section290aa-5a&amp;num=0&amp;edition=prelim", "42 U.S.C. 290aa-5a")</f>
        <v>42 U.S.C. 290aa-5a</v>
      </c>
      <c r="H2015" s="46">
        <v>46660</v>
      </c>
      <c r="I2015" s="13">
        <v>2027</v>
      </c>
      <c r="J2015" s="47">
        <v>80000000</v>
      </c>
      <c r="K2015" s="16" t="s">
        <v>62</v>
      </c>
      <c r="L2015" s="3" t="s">
        <v>60</v>
      </c>
      <c r="M2015" s="3" t="s">
        <v>71</v>
      </c>
      <c r="N2015" s="3" t="s">
        <v>72</v>
      </c>
    </row>
    <row r="2016" spans="1:14" x14ac:dyDescent="0.3">
      <c r="A2016" s="36" t="s">
        <v>37</v>
      </c>
      <c r="B2016" s="13">
        <v>117</v>
      </c>
      <c r="C2016" s="48" t="str">
        <f t="shared" si="80"/>
        <v>P.L. 117-328</v>
      </c>
      <c r="D2016" s="3" t="s">
        <v>3649</v>
      </c>
      <c r="E2016" s="3" t="s">
        <v>3715</v>
      </c>
      <c r="F2016" s="3" t="s">
        <v>3716</v>
      </c>
      <c r="G2016" s="48" t="str">
        <f>HYPERLINK("https://uscode.house.gov/view.xhtml?req=granuleid:USC-prelim-title42-section290aa-5&amp;num=0&amp;edition=prelim", "42 U.S.C. 290aa-5(e)")</f>
        <v>42 U.S.C. 290aa-5(e)</v>
      </c>
      <c r="H2016" s="46">
        <v>46660</v>
      </c>
      <c r="I2016" s="13">
        <v>2027</v>
      </c>
      <c r="J2016" s="47">
        <v>41304000</v>
      </c>
      <c r="K2016" s="16" t="s">
        <v>62</v>
      </c>
      <c r="L2016" s="3" t="s">
        <v>60</v>
      </c>
      <c r="M2016" s="3" t="s">
        <v>71</v>
      </c>
      <c r="N2016" s="3" t="s">
        <v>72</v>
      </c>
    </row>
    <row r="2017" spans="1:14" x14ac:dyDescent="0.3">
      <c r="A2017" s="36" t="s">
        <v>37</v>
      </c>
      <c r="B2017" s="13">
        <v>117</v>
      </c>
      <c r="C2017" s="48" t="str">
        <f t="shared" si="80"/>
        <v>P.L. 117-328</v>
      </c>
      <c r="D2017" s="3" t="s">
        <v>3649</v>
      </c>
      <c r="E2017" s="3" t="s">
        <v>3717</v>
      </c>
      <c r="F2017" s="3" t="s">
        <v>3718</v>
      </c>
      <c r="G2017" s="48" t="str">
        <f>HYPERLINK("https://uscode.house.gov/view.xhtml?req=granuleid:USC-prelim-title42-section290bb-2&amp;num=0&amp;edition=prelim", "42 U.S.C. 290bb-2")</f>
        <v>42 U.S.C. 290bb-2</v>
      </c>
      <c r="H2017" s="46">
        <v>46660</v>
      </c>
      <c r="I2017" s="13">
        <v>2027</v>
      </c>
      <c r="J2017" s="47">
        <v>521517000</v>
      </c>
      <c r="K2017" s="16" t="s">
        <v>62</v>
      </c>
      <c r="L2017" s="3" t="s">
        <v>60</v>
      </c>
      <c r="M2017" s="3" t="s">
        <v>71</v>
      </c>
      <c r="N2017" s="3" t="s">
        <v>72</v>
      </c>
    </row>
    <row r="2018" spans="1:14" x14ac:dyDescent="0.3">
      <c r="A2018" s="36" t="s">
        <v>37</v>
      </c>
      <c r="B2018" s="13">
        <v>117</v>
      </c>
      <c r="C2018" s="48" t="str">
        <f t="shared" si="80"/>
        <v>P.L. 117-328</v>
      </c>
      <c r="D2018" s="3" t="s">
        <v>3649</v>
      </c>
      <c r="E2018" s="3" t="s">
        <v>3719</v>
      </c>
      <c r="F2018" s="3" t="s">
        <v>3720</v>
      </c>
      <c r="G2018" s="48" t="str">
        <f>HYPERLINK("https://uscode.house.gov/view.xhtml?req=granuleid:USC-prelim-title42-section290bb-10&amp;num=0&amp;edition=prelim", "42 U.S.C. 290bb-10(f)")</f>
        <v>42 U.S.C. 290bb-10(f)</v>
      </c>
      <c r="H2018" s="46">
        <v>46660</v>
      </c>
      <c r="I2018" s="13">
        <v>2027</v>
      </c>
      <c r="J2018" s="47">
        <v>25000000</v>
      </c>
      <c r="K2018" s="16" t="s">
        <v>62</v>
      </c>
      <c r="L2018" s="3" t="s">
        <v>60</v>
      </c>
      <c r="M2018" s="3" t="s">
        <v>71</v>
      </c>
      <c r="N2018" s="3" t="s">
        <v>72</v>
      </c>
    </row>
    <row r="2019" spans="1:14" x14ac:dyDescent="0.3">
      <c r="A2019" s="36" t="s">
        <v>37</v>
      </c>
      <c r="B2019" s="13">
        <v>117</v>
      </c>
      <c r="C2019" s="48" t="str">
        <f t="shared" si="80"/>
        <v>P.L. 117-328</v>
      </c>
      <c r="D2019" s="3" t="s">
        <v>3649</v>
      </c>
      <c r="E2019" s="3" t="s">
        <v>3721</v>
      </c>
      <c r="F2019" s="3" t="s">
        <v>3722</v>
      </c>
      <c r="G2019" s="48" t="str">
        <f>HYPERLINK("https://uscode.house.gov/view.xhtml?req=granuleid:USC-prelim-title42-section290bb-22&amp;num=0&amp;edition=prelim", "42 U.S.C. 290bb-22(f)")</f>
        <v>42 U.S.C. 290bb-22(f)</v>
      </c>
      <c r="H2019" s="46">
        <v>46660</v>
      </c>
      <c r="I2019" s="13">
        <v>2027</v>
      </c>
      <c r="J2019" s="47">
        <v>218219000</v>
      </c>
      <c r="K2019" s="16" t="s">
        <v>62</v>
      </c>
      <c r="L2019" s="3" t="s">
        <v>60</v>
      </c>
      <c r="M2019" s="3" t="s">
        <v>71</v>
      </c>
      <c r="N2019" s="3" t="s">
        <v>72</v>
      </c>
    </row>
    <row r="2020" spans="1:14" x14ac:dyDescent="0.3">
      <c r="A2020" s="36" t="s">
        <v>37</v>
      </c>
      <c r="B2020" s="13">
        <v>117</v>
      </c>
      <c r="C2020" s="48" t="str">
        <f t="shared" si="80"/>
        <v>P.L. 117-328</v>
      </c>
      <c r="D2020" s="3" t="s">
        <v>3649</v>
      </c>
      <c r="E2020" s="3" t="s">
        <v>3723</v>
      </c>
      <c r="F2020" s="3" t="s">
        <v>3724</v>
      </c>
      <c r="G2020" s="48" t="str">
        <f>HYPERLINK("https://uscode.house.gov/view.xhtml?req=granuleid:USC-prelim-title42-section290bb-25B&amp;num=0&amp;edition=prelim", "42 U.S.C. 290bb-25B")</f>
        <v>42 U.S.C. 290bb-25B</v>
      </c>
      <c r="H2020" s="46">
        <v>46660</v>
      </c>
      <c r="I2020" s="13">
        <v>2027</v>
      </c>
      <c r="J2020" s="47">
        <v>1000000</v>
      </c>
      <c r="K2020" s="16" t="s">
        <v>62</v>
      </c>
      <c r="L2020" s="3" t="s">
        <v>60</v>
      </c>
      <c r="M2020" s="3" t="s">
        <v>71</v>
      </c>
      <c r="N2020" s="3" t="s">
        <v>72</v>
      </c>
    </row>
    <row r="2021" spans="1:14" x14ac:dyDescent="0.3">
      <c r="A2021" s="36" t="s">
        <v>37</v>
      </c>
      <c r="B2021" s="13">
        <v>117</v>
      </c>
      <c r="C2021" s="48" t="str">
        <f t="shared" si="80"/>
        <v>P.L. 117-328</v>
      </c>
      <c r="D2021" s="3" t="s">
        <v>3649</v>
      </c>
      <c r="E2021" s="3" t="s">
        <v>3725</v>
      </c>
      <c r="F2021" s="3" t="s">
        <v>3726</v>
      </c>
      <c r="G2021" s="48" t="str">
        <f>HYPERLINK("https://uscode.house.gov/view.xhtml?req=granuleid:USC-prelim-title42-section290bb&amp;num=0&amp;edition=prelim", "42 U.S.C. 290bb(25b)")</f>
        <v>42 U.S.C. 290bb(25b)</v>
      </c>
      <c r="H2021" s="46">
        <v>46657</v>
      </c>
      <c r="I2021" s="13">
        <v>2027</v>
      </c>
      <c r="J2021" s="47">
        <v>2500000</v>
      </c>
      <c r="K2021" s="16" t="s">
        <v>62</v>
      </c>
      <c r="L2021" s="3" t="s">
        <v>60</v>
      </c>
      <c r="M2021" s="3" t="s">
        <v>71</v>
      </c>
      <c r="N2021" s="3" t="s">
        <v>72</v>
      </c>
    </row>
    <row r="2022" spans="1:14" x14ac:dyDescent="0.3">
      <c r="A2022" s="36" t="s">
        <v>37</v>
      </c>
      <c r="B2022" s="13">
        <v>117</v>
      </c>
      <c r="C2022" s="48" t="str">
        <f t="shared" si="80"/>
        <v>P.L. 117-328</v>
      </c>
      <c r="D2022" s="3" t="s">
        <v>3649</v>
      </c>
      <c r="E2022" s="3" t="s">
        <v>3727</v>
      </c>
      <c r="F2022" s="3" t="s">
        <v>3728</v>
      </c>
      <c r="G2022" s="48" t="str">
        <f>HYPERLINK("https://uscode.house.gov/view.xhtml?req=granuleid:USC-prelim-title42-section290bb-25b&amp;num=0&amp;edition=prelim", "42 U.S.C. 290bb-25b")</f>
        <v>42 U.S.C. 290bb-25b</v>
      </c>
      <c r="H2022" s="46">
        <v>46660</v>
      </c>
      <c r="I2022" s="13">
        <v>2027</v>
      </c>
      <c r="J2022" s="47">
        <v>11500000</v>
      </c>
      <c r="K2022" s="16" t="s">
        <v>62</v>
      </c>
      <c r="L2022" s="3" t="s">
        <v>60</v>
      </c>
      <c r="M2022" s="3" t="s">
        <v>71</v>
      </c>
      <c r="N2022" s="3" t="s">
        <v>72</v>
      </c>
    </row>
    <row r="2023" spans="1:14" x14ac:dyDescent="0.3">
      <c r="A2023" s="36" t="s">
        <v>37</v>
      </c>
      <c r="B2023" s="13">
        <v>117</v>
      </c>
      <c r="C2023" s="48" t="str">
        <f t="shared" si="80"/>
        <v>P.L. 117-328</v>
      </c>
      <c r="D2023" s="3" t="s">
        <v>3649</v>
      </c>
      <c r="E2023" s="3" t="s">
        <v>3729</v>
      </c>
      <c r="F2023" s="3" t="s">
        <v>3730</v>
      </c>
      <c r="G2023" s="48" t="str">
        <f>HYPERLINK("https://uscode.house.gov/view.xhtml?req=granuleid:USC-prelim-title42-section290-bb-25b&amp;num=0&amp;edition=prelim", "42 U.S.C. 290-bb-25b")</f>
        <v>42 U.S.C. 290-bb-25b</v>
      </c>
      <c r="H2023" s="46">
        <v>46660</v>
      </c>
      <c r="I2023" s="13">
        <v>2027</v>
      </c>
      <c r="J2023" s="47">
        <v>3000000</v>
      </c>
      <c r="K2023" s="16" t="s">
        <v>62</v>
      </c>
      <c r="L2023" s="3" t="s">
        <v>60</v>
      </c>
      <c r="M2023" s="3" t="s">
        <v>71</v>
      </c>
      <c r="N2023" s="3" t="s">
        <v>72</v>
      </c>
    </row>
    <row r="2024" spans="1:14" x14ac:dyDescent="0.3">
      <c r="A2024" s="36" t="s">
        <v>37</v>
      </c>
      <c r="B2024" s="13">
        <v>117</v>
      </c>
      <c r="C2024" s="48" t="str">
        <f t="shared" si="80"/>
        <v>P.L. 117-328</v>
      </c>
      <c r="D2024" s="3" t="s">
        <v>3649</v>
      </c>
      <c r="E2024" s="3" t="s">
        <v>3731</v>
      </c>
      <c r="F2024" s="3" t="s">
        <v>3732</v>
      </c>
      <c r="G2024" s="48" t="str">
        <f>HYPERLINK("https://uscode.house.gov/view.xhtml?req=granuleid:USC-prelim-title42-section290bb-25b&amp;num=0&amp;edition=prelim", "42 U.S.C. 290bb-25b")</f>
        <v>42 U.S.C. 290bb-25b</v>
      </c>
      <c r="H2024" s="46">
        <v>46660</v>
      </c>
      <c r="I2024" s="13">
        <v>2027</v>
      </c>
      <c r="J2024" s="47">
        <v>5000000</v>
      </c>
      <c r="K2024" s="16" t="s">
        <v>62</v>
      </c>
      <c r="L2024" s="3" t="s">
        <v>60</v>
      </c>
      <c r="M2024" s="3" t="s">
        <v>71</v>
      </c>
      <c r="N2024" s="3" t="s">
        <v>72</v>
      </c>
    </row>
    <row r="2025" spans="1:14" x14ac:dyDescent="0.3">
      <c r="A2025" s="36" t="s">
        <v>37</v>
      </c>
      <c r="B2025" s="13">
        <v>117</v>
      </c>
      <c r="C2025" s="48" t="str">
        <f t="shared" si="80"/>
        <v>P.L. 117-328</v>
      </c>
      <c r="D2025" s="3" t="s">
        <v>3649</v>
      </c>
      <c r="E2025" s="3" t="s">
        <v>3733</v>
      </c>
      <c r="F2025" s="3" t="s">
        <v>3734</v>
      </c>
      <c r="G2025" s="48" t="str">
        <f>HYPERLINK("https://uscode.house.gov/view.xhtml?req=granuleid:USC-prelim-title42-section290bb-25b`&amp;num=0&amp;edition=prelim", "42 U.S.C. 290bb-25b`")</f>
        <v>42 U.S.C. 290bb-25b`</v>
      </c>
      <c r="H2025" s="46">
        <v>45199</v>
      </c>
      <c r="I2025" s="13">
        <v>2023</v>
      </c>
      <c r="J2025" s="47">
        <v>500000</v>
      </c>
      <c r="K2025" s="16" t="s">
        <v>62</v>
      </c>
      <c r="L2025" s="3" t="s">
        <v>60</v>
      </c>
      <c r="M2025" s="3" t="s">
        <v>71</v>
      </c>
      <c r="N2025" s="3" t="s">
        <v>72</v>
      </c>
    </row>
    <row r="2026" spans="1:14" x14ac:dyDescent="0.3">
      <c r="A2026" s="36" t="s">
        <v>37</v>
      </c>
      <c r="B2026" s="13">
        <v>117</v>
      </c>
      <c r="C2026" s="48" t="str">
        <f t="shared" si="80"/>
        <v>P.L. 117-328</v>
      </c>
      <c r="D2026" s="3" t="s">
        <v>3649</v>
      </c>
      <c r="E2026" s="3" t="s">
        <v>3735</v>
      </c>
      <c r="F2026" s="3" t="s">
        <v>3736</v>
      </c>
      <c r="G2026" s="48" t="str">
        <f>HYPERLINK("https://uscode.house.gov/view.xhtml?req=granuleid:USC-prelim-title42-section290bb-38&amp;num=0&amp;edition=prelim", "42 U.S.C. 290bb-38(j)")</f>
        <v>42 U.S.C. 290bb-38(j)</v>
      </c>
      <c r="H2026" s="46">
        <v>46660</v>
      </c>
      <c r="I2026" s="13">
        <v>2027</v>
      </c>
      <c r="J2026" s="47">
        <v>14000000</v>
      </c>
      <c r="K2026" s="16" t="s">
        <v>62</v>
      </c>
      <c r="L2026" s="3" t="s">
        <v>60</v>
      </c>
      <c r="M2026" s="3" t="s">
        <v>71</v>
      </c>
      <c r="N2026" s="3" t="s">
        <v>72</v>
      </c>
    </row>
    <row r="2027" spans="1:14" x14ac:dyDescent="0.3">
      <c r="A2027" s="36" t="s">
        <v>37</v>
      </c>
      <c r="B2027" s="13">
        <v>117</v>
      </c>
      <c r="C2027" s="48" t="str">
        <f t="shared" si="80"/>
        <v>P.L. 117-328</v>
      </c>
      <c r="D2027" s="3" t="s">
        <v>3649</v>
      </c>
      <c r="E2027" s="3" t="s">
        <v>3737</v>
      </c>
      <c r="F2027" s="3" t="s">
        <v>3738</v>
      </c>
      <c r="G2027" s="48" t="str">
        <f>HYPERLINK("https://uscode.house.gov/view.xhtml?req=granuleid:USC-prelim-title42-section290cc-35&amp;num=0&amp;edition=prelim", "42 U.S.C. 290cc-35(a)")</f>
        <v>42 U.S.C. 290cc-35(a)</v>
      </c>
      <c r="H2027" s="46">
        <v>46660</v>
      </c>
      <c r="I2027" s="13">
        <v>2027</v>
      </c>
      <c r="J2027" s="47">
        <v>64635000</v>
      </c>
      <c r="K2027" s="16" t="s">
        <v>62</v>
      </c>
      <c r="L2027" s="3" t="s">
        <v>60</v>
      </c>
      <c r="M2027" s="3" t="s">
        <v>71</v>
      </c>
      <c r="N2027" s="3" t="s">
        <v>72</v>
      </c>
    </row>
    <row r="2028" spans="1:14" x14ac:dyDescent="0.3">
      <c r="A2028" s="36" t="s">
        <v>37</v>
      </c>
      <c r="B2028" s="13">
        <v>117</v>
      </c>
      <c r="C2028" s="48" t="str">
        <f t="shared" si="80"/>
        <v>P.L. 117-328</v>
      </c>
      <c r="D2028" s="3" t="s">
        <v>3649</v>
      </c>
      <c r="E2028" s="3" t="s">
        <v>3739</v>
      </c>
      <c r="F2028" s="3" t="s">
        <v>3740</v>
      </c>
      <c r="G2028" s="48" t="str">
        <f>HYPERLINK("https://uscode.house.gov/view.xhtml?req=granuleid:USC-prelim-title42-section290dd-3&amp;num=0&amp;edition=prelim", "42 U.S.C. 290dd-3(f)")</f>
        <v>42 U.S.C. 290dd-3(f)</v>
      </c>
      <c r="H2028" s="46">
        <v>46660</v>
      </c>
      <c r="I2028" s="13">
        <v>2027</v>
      </c>
      <c r="J2028" s="47">
        <v>5000000</v>
      </c>
      <c r="K2028" s="16" t="s">
        <v>62</v>
      </c>
      <c r="L2028" s="3" t="s">
        <v>60</v>
      </c>
      <c r="M2028" s="3" t="s">
        <v>71</v>
      </c>
      <c r="N2028" s="3" t="s">
        <v>72</v>
      </c>
    </row>
    <row r="2029" spans="1:14" x14ac:dyDescent="0.3">
      <c r="A2029" s="36" t="s">
        <v>37</v>
      </c>
      <c r="B2029" s="13">
        <v>117</v>
      </c>
      <c r="C2029" s="48" t="str">
        <f t="shared" si="80"/>
        <v>P.L. 117-328</v>
      </c>
      <c r="D2029" s="3" t="s">
        <v>3649</v>
      </c>
      <c r="E2029" s="3" t="s">
        <v>3741</v>
      </c>
      <c r="F2029" s="3" t="s">
        <v>3742</v>
      </c>
      <c r="G2029" s="48" t="str">
        <f>HYPERLINK("https://uscode.house.gov/view.xhtml?req=granuleid:USC-prelim-title42-section290ee&amp;num=0&amp;edition=prelim", "42 U.S.C. 290ee(d)")</f>
        <v>42 U.S.C. 290ee(d)</v>
      </c>
      <c r="H2029" s="46">
        <v>46660</v>
      </c>
      <c r="I2029" s="13">
        <v>2027</v>
      </c>
      <c r="J2029" s="47">
        <v>5000000</v>
      </c>
      <c r="K2029" s="16" t="s">
        <v>62</v>
      </c>
      <c r="L2029" s="3" t="s">
        <v>60</v>
      </c>
      <c r="M2029" s="3" t="s">
        <v>71</v>
      </c>
      <c r="N2029" s="3" t="s">
        <v>72</v>
      </c>
    </row>
    <row r="2030" spans="1:14" x14ac:dyDescent="0.3">
      <c r="A2030" s="36" t="s">
        <v>37</v>
      </c>
      <c r="B2030" s="13">
        <v>117</v>
      </c>
      <c r="C2030" s="48" t="str">
        <f t="shared" si="80"/>
        <v>P.L. 117-328</v>
      </c>
      <c r="D2030" s="3" t="s">
        <v>3649</v>
      </c>
      <c r="E2030" s="3" t="s">
        <v>3743</v>
      </c>
      <c r="F2030" s="3" t="s">
        <v>3744</v>
      </c>
      <c r="G2030" s="48" t="str">
        <f>HYPERLINK("https://uscode.house.gov/view.xhtml?req=granuleid:USC-prelim-title42-section294i&amp;num=0&amp;edition=prelim", "42 U.S.C. 294i(note)")</f>
        <v>42 U.S.C. 294i(note)</v>
      </c>
      <c r="H2030" s="46">
        <v>46660</v>
      </c>
      <c r="I2030" s="13">
        <v>2027</v>
      </c>
      <c r="J2030" s="47">
        <v>10000000</v>
      </c>
      <c r="K2030" s="16" t="s">
        <v>62</v>
      </c>
      <c r="L2030" s="3" t="s">
        <v>60</v>
      </c>
      <c r="M2030" s="3" t="s">
        <v>71</v>
      </c>
      <c r="N2030" s="3" t="s">
        <v>72</v>
      </c>
    </row>
    <row r="2031" spans="1:14" x14ac:dyDescent="0.3">
      <c r="A2031" s="36" t="s">
        <v>37</v>
      </c>
      <c r="B2031" s="13">
        <v>117</v>
      </c>
      <c r="C2031" s="48" t="str">
        <f t="shared" si="80"/>
        <v>P.L. 117-328</v>
      </c>
      <c r="D2031" s="3" t="s">
        <v>3649</v>
      </c>
      <c r="E2031" s="3" t="s">
        <v>3745</v>
      </c>
      <c r="F2031" s="3" t="s">
        <v>3746</v>
      </c>
      <c r="G2031" s="49"/>
      <c r="H2031" s="46">
        <v>45199</v>
      </c>
      <c r="I2031" s="13">
        <v>2023</v>
      </c>
      <c r="J2031" s="47">
        <v>1500000</v>
      </c>
      <c r="K2031" s="16" t="s">
        <v>62</v>
      </c>
      <c r="L2031" s="3" t="s">
        <v>60</v>
      </c>
      <c r="M2031" s="3" t="s">
        <v>71</v>
      </c>
      <c r="N2031" s="3" t="s">
        <v>72</v>
      </c>
    </row>
    <row r="2032" spans="1:14" x14ac:dyDescent="0.3">
      <c r="A2032" s="36" t="s">
        <v>37</v>
      </c>
      <c r="B2032" s="13">
        <v>117</v>
      </c>
      <c r="C2032" s="48" t="str">
        <f t="shared" si="80"/>
        <v>P.L. 117-328</v>
      </c>
      <c r="D2032" s="3" t="s">
        <v>3649</v>
      </c>
      <c r="E2032" s="3" t="s">
        <v>3747</v>
      </c>
      <c r="F2032" s="3" t="s">
        <v>3748</v>
      </c>
      <c r="G2032" s="48" t="str">
        <f>HYPERLINK("https://uscode.house.gov/view.xhtml?req=granuleid:USC-prelim-title42-section290ee-5&amp;num=0&amp;edition=prelim", "42 U.S.C. 290ee-5")</f>
        <v>42 U.S.C. 290ee-5</v>
      </c>
      <c r="H2032" s="46">
        <v>46660</v>
      </c>
      <c r="I2032" s="13">
        <v>2027</v>
      </c>
      <c r="J2032" s="47">
        <v>5000000</v>
      </c>
      <c r="K2032" s="16" t="s">
        <v>62</v>
      </c>
      <c r="L2032" s="3" t="s">
        <v>60</v>
      </c>
      <c r="M2032" s="3" t="s">
        <v>71</v>
      </c>
      <c r="N2032" s="3" t="s">
        <v>72</v>
      </c>
    </row>
    <row r="2033" spans="1:14" x14ac:dyDescent="0.3">
      <c r="A2033" s="36" t="s">
        <v>37</v>
      </c>
      <c r="B2033" s="13">
        <v>117</v>
      </c>
      <c r="C2033" s="48" t="str">
        <f t="shared" si="80"/>
        <v>P.L. 117-328</v>
      </c>
      <c r="D2033" s="3" t="s">
        <v>3649</v>
      </c>
      <c r="E2033" s="3" t="s">
        <v>3749</v>
      </c>
      <c r="F2033" s="3" t="s">
        <v>3750</v>
      </c>
      <c r="G2033" s="48" t="str">
        <f>HYPERLINK("https://uscode.house.gov/view.xhtml?req=granuleid:USC-prelim-title42-section300x-35&amp;num=0&amp;edition=prelim", "42 U.S.C. 300x-35(a)")</f>
        <v>42 U.S.C. 300x-35(a)</v>
      </c>
      <c r="H2033" s="46">
        <v>46660</v>
      </c>
      <c r="I2033" s="13">
        <v>2027</v>
      </c>
      <c r="J2033" s="47">
        <v>1908079000</v>
      </c>
      <c r="K2033" s="16" t="s">
        <v>62</v>
      </c>
      <c r="L2033" s="3" t="s">
        <v>60</v>
      </c>
      <c r="M2033" s="3" t="s">
        <v>71</v>
      </c>
      <c r="N2033" s="3" t="s">
        <v>72</v>
      </c>
    </row>
    <row r="2034" spans="1:14" x14ac:dyDescent="0.3">
      <c r="A2034" s="36" t="s">
        <v>37</v>
      </c>
      <c r="B2034" s="13">
        <v>117</v>
      </c>
      <c r="C2034" s="48" t="str">
        <f t="shared" si="80"/>
        <v>P.L. 117-328</v>
      </c>
      <c r="D2034" s="3" t="s">
        <v>3649</v>
      </c>
      <c r="E2034" s="3" t="s">
        <v>3751</v>
      </c>
      <c r="F2034" s="3" t="s">
        <v>3752</v>
      </c>
      <c r="G2034" s="48" t="str">
        <f>HYPERLINK("https://uscode.house.gov/view.xhtml?req=granuleid:USC-prelim-title42-section290ee-3&amp;num=0&amp;edition=prelim", "42 U.S.C. 290ee-3(note)")</f>
        <v>42 U.S.C. 290ee-3(note)</v>
      </c>
      <c r="H2034" s="46">
        <v>46660</v>
      </c>
      <c r="I2034" s="13">
        <v>2027</v>
      </c>
      <c r="J2034" s="47">
        <v>1750000000</v>
      </c>
      <c r="K2034" s="16" t="s">
        <v>62</v>
      </c>
      <c r="L2034" s="3" t="s">
        <v>60</v>
      </c>
      <c r="M2034" s="3" t="s">
        <v>71</v>
      </c>
      <c r="N2034" s="3" t="s">
        <v>72</v>
      </c>
    </row>
    <row r="2035" spans="1:14" x14ac:dyDescent="0.3">
      <c r="A2035" s="36" t="s">
        <v>37</v>
      </c>
      <c r="B2035" s="13">
        <v>117</v>
      </c>
      <c r="C2035" s="48" t="str">
        <f t="shared" si="80"/>
        <v>P.L. 117-328</v>
      </c>
      <c r="D2035" s="3" t="s">
        <v>3649</v>
      </c>
      <c r="E2035" s="3" t="s">
        <v>3753</v>
      </c>
      <c r="F2035" s="3" t="s">
        <v>3754</v>
      </c>
      <c r="G2035" s="48" t="str">
        <f>HYPERLINK("https://uscode.house.gov/view.xhtml?req=granuleid:USC-prelim-title42-section290bb-42&amp;num=0&amp;edition=prelim", "42 U.S.C. 290bb-42(h)")</f>
        <v>42 U.S.C. 290bb-42(h)</v>
      </c>
      <c r="H2035" s="46">
        <v>46660</v>
      </c>
      <c r="I2035" s="13">
        <v>2027</v>
      </c>
      <c r="J2035" s="47">
        <v>60000000</v>
      </c>
      <c r="K2035" s="16" t="s">
        <v>62</v>
      </c>
      <c r="L2035" s="3" t="s">
        <v>60</v>
      </c>
      <c r="M2035" s="3" t="s">
        <v>71</v>
      </c>
      <c r="N2035" s="3" t="s">
        <v>72</v>
      </c>
    </row>
    <row r="2036" spans="1:14" x14ac:dyDescent="0.3">
      <c r="A2036" s="36" t="s">
        <v>37</v>
      </c>
      <c r="B2036" s="13">
        <v>117</v>
      </c>
      <c r="C2036" s="48" t="str">
        <f t="shared" si="80"/>
        <v>P.L. 117-328</v>
      </c>
      <c r="D2036" s="3" t="s">
        <v>3649</v>
      </c>
      <c r="E2036" s="3" t="s">
        <v>3755</v>
      </c>
      <c r="F2036" s="3" t="s">
        <v>3756</v>
      </c>
      <c r="G2036" s="48" t="str">
        <f>HYPERLINK("https://uscode.house.gov/view.xhtml?req=granuleid:USC-prelim-title42-section294e-1&amp;num=0&amp;edition=prelim", "42 U.S.C. 294e-1")</f>
        <v>42 U.S.C. 294e-1</v>
      </c>
      <c r="H2036" s="46">
        <v>46660</v>
      </c>
      <c r="I2036" s="13">
        <v>2027</v>
      </c>
      <c r="J2036" s="47">
        <v>50000000</v>
      </c>
      <c r="K2036" s="16" t="s">
        <v>62</v>
      </c>
      <c r="L2036" s="3" t="s">
        <v>60</v>
      </c>
      <c r="M2036" s="3" t="s">
        <v>71</v>
      </c>
      <c r="N2036" s="3" t="s">
        <v>72</v>
      </c>
    </row>
    <row r="2037" spans="1:14" x14ac:dyDescent="0.3">
      <c r="A2037" s="36" t="s">
        <v>37</v>
      </c>
      <c r="B2037" s="13">
        <v>117</v>
      </c>
      <c r="C2037" s="48" t="str">
        <f t="shared" si="80"/>
        <v>P.L. 117-328</v>
      </c>
      <c r="D2037" s="3" t="s">
        <v>3649</v>
      </c>
      <c r="E2037" s="3" t="s">
        <v>3757</v>
      </c>
      <c r="F2037" s="3" t="s">
        <v>3758</v>
      </c>
      <c r="G2037" s="48" t="str">
        <f>HYPERLINK("https://uscode.house.gov/view.xhtml?req=granuleid:USC-prelim-title42-section294k&amp;num=0&amp;edition=prelim", "42 U.S.C. 294k(et seq)")</f>
        <v>42 U.S.C. 294k(et seq)</v>
      </c>
      <c r="H2037" s="46">
        <v>46660</v>
      </c>
      <c r="I2037" s="13">
        <v>2027</v>
      </c>
      <c r="J2037" s="47">
        <v>31700000</v>
      </c>
      <c r="K2037" s="16" t="s">
        <v>62</v>
      </c>
      <c r="L2037" s="3" t="s">
        <v>60</v>
      </c>
      <c r="M2037" s="3" t="s">
        <v>71</v>
      </c>
      <c r="N2037" s="3" t="s">
        <v>72</v>
      </c>
    </row>
    <row r="2038" spans="1:14" x14ac:dyDescent="0.3">
      <c r="A2038" s="36" t="s">
        <v>37</v>
      </c>
      <c r="B2038" s="13">
        <v>117</v>
      </c>
      <c r="C2038" s="48" t="str">
        <f t="shared" si="80"/>
        <v>P.L. 117-328</v>
      </c>
      <c r="D2038" s="3" t="s">
        <v>3649</v>
      </c>
      <c r="E2038" s="3" t="s">
        <v>3759</v>
      </c>
      <c r="F2038" s="3" t="s">
        <v>3760</v>
      </c>
      <c r="G2038" s="48" t="str">
        <f>HYPERLINK("https://uscode.house.gov/view.xhtml?req=granuleid:USC-prelim-title42-section290ll&amp;num=0&amp;edition=prelim", "42 U.S.C. 290ll(c)")</f>
        <v>42 U.S.C. 290ll(c)</v>
      </c>
      <c r="H2038" s="46">
        <v>46660</v>
      </c>
      <c r="I2038" s="13">
        <v>2027</v>
      </c>
      <c r="J2038" s="47">
        <v>25000000</v>
      </c>
      <c r="K2038" s="16" t="s">
        <v>62</v>
      </c>
      <c r="L2038" s="3" t="s">
        <v>60</v>
      </c>
      <c r="M2038" s="3" t="s">
        <v>71</v>
      </c>
      <c r="N2038" s="3" t="s">
        <v>72</v>
      </c>
    </row>
    <row r="2039" spans="1:14" x14ac:dyDescent="0.3">
      <c r="A2039" s="36" t="s">
        <v>37</v>
      </c>
      <c r="B2039" s="13">
        <v>117</v>
      </c>
      <c r="C2039" s="48" t="str">
        <f t="shared" si="80"/>
        <v>P.L. 117-328</v>
      </c>
      <c r="D2039" s="3" t="s">
        <v>3649</v>
      </c>
      <c r="E2039" s="3" t="s">
        <v>3761</v>
      </c>
      <c r="F2039" s="3" t="s">
        <v>3762</v>
      </c>
      <c r="G2039" s="48" t="str">
        <f>HYPERLINK("https://uscode.house.gov/view.xhtml?req=granuleid:USC-prelim-title42-section300gg-94&amp;num=0&amp;edition=prelim", "42 U.S.C. 300gg-94(c)")</f>
        <v>42 U.S.C. 300gg-94(c)</v>
      </c>
      <c r="H2039" s="46">
        <v>47026</v>
      </c>
      <c r="I2039" s="13">
        <v>2028</v>
      </c>
      <c r="J2039" s="47">
        <v>10000000</v>
      </c>
      <c r="K2039" s="16" t="s">
        <v>62</v>
      </c>
      <c r="L2039" s="3" t="s">
        <v>60</v>
      </c>
      <c r="M2039" s="3" t="s">
        <v>71</v>
      </c>
      <c r="N2039" s="3" t="s">
        <v>72</v>
      </c>
    </row>
    <row r="2040" spans="1:14" x14ac:dyDescent="0.3">
      <c r="A2040" s="36" t="s">
        <v>37</v>
      </c>
      <c r="B2040" s="13">
        <v>117</v>
      </c>
      <c r="C2040" s="48" t="str">
        <f t="shared" si="80"/>
        <v>P.L. 117-328</v>
      </c>
      <c r="D2040" s="3" t="s">
        <v>3649</v>
      </c>
      <c r="E2040" s="3" t="s">
        <v>3763</v>
      </c>
      <c r="F2040" s="3" t="s">
        <v>3764</v>
      </c>
      <c r="G2040" s="48" t="str">
        <f>HYPERLINK("https://uscode.house.gov/view.xhtml?req=granuleid:USC-prelim-title42-section280h&amp;num=0&amp;edition=prelim", "42 U.S.C. 280h(6)")</f>
        <v>42 U.S.C. 280h(6)</v>
      </c>
      <c r="H2040" s="46">
        <v>46660</v>
      </c>
      <c r="I2040" s="13">
        <v>2027</v>
      </c>
      <c r="J2040" s="47">
        <v>50000000</v>
      </c>
      <c r="K2040" s="16" t="s">
        <v>62</v>
      </c>
      <c r="L2040" s="3" t="s">
        <v>60</v>
      </c>
      <c r="M2040" s="3" t="s">
        <v>71</v>
      </c>
      <c r="N2040" s="3" t="s">
        <v>72</v>
      </c>
    </row>
    <row r="2041" spans="1:14" x14ac:dyDescent="0.3">
      <c r="A2041" s="36" t="s">
        <v>37</v>
      </c>
      <c r="B2041" s="13">
        <v>117</v>
      </c>
      <c r="C2041" s="48" t="str">
        <f t="shared" si="80"/>
        <v>P.L. 117-328</v>
      </c>
      <c r="D2041" s="3" t="s">
        <v>3649</v>
      </c>
      <c r="E2041" s="3" t="s">
        <v>3765</v>
      </c>
      <c r="F2041" s="3" t="s">
        <v>3766</v>
      </c>
      <c r="G2041" s="48" t="str">
        <f>HYPERLINK("https://uscode.house.gov/view.xhtml?req=granuleid:USC-prelim-title42-section290ff-4&amp;num=0&amp;edition=prelim", "42 U.S.C. 290ff-4(f)(1)")</f>
        <v>42 U.S.C. 290ff-4(f)(1)</v>
      </c>
      <c r="H2041" s="46">
        <v>46660</v>
      </c>
      <c r="I2041" s="13">
        <v>2027</v>
      </c>
      <c r="J2041" s="47">
        <v>125000000</v>
      </c>
      <c r="K2041" s="16" t="s">
        <v>62</v>
      </c>
      <c r="L2041" s="3" t="s">
        <v>60</v>
      </c>
      <c r="M2041" s="3" t="s">
        <v>71</v>
      </c>
      <c r="N2041" s="3" t="s">
        <v>72</v>
      </c>
    </row>
    <row r="2042" spans="1:14" x14ac:dyDescent="0.3">
      <c r="A2042" s="36" t="s">
        <v>37</v>
      </c>
      <c r="B2042" s="13">
        <v>117</v>
      </c>
      <c r="C2042" s="48" t="str">
        <f t="shared" si="80"/>
        <v>P.L. 117-328</v>
      </c>
      <c r="D2042" s="3" t="s">
        <v>3649</v>
      </c>
      <c r="E2042" s="3" t="s">
        <v>3767</v>
      </c>
      <c r="F2042" s="3" t="s">
        <v>3768</v>
      </c>
      <c r="G2042" s="48" t="str">
        <f>HYPERLINK("https://uscode.house.gov/view.xhtml?req=granuleid:USC-prelim-title42-section290bb-7&amp;num=0&amp;edition=prelim", "42 U.S.C. 290bb-7(f)")</f>
        <v>42 U.S.C. 290bb-7(f)</v>
      </c>
      <c r="H2042" s="46">
        <v>46660</v>
      </c>
      <c r="I2042" s="13">
        <v>2027</v>
      </c>
      <c r="J2042" s="47">
        <v>29605000</v>
      </c>
      <c r="K2042" s="16" t="s">
        <v>62</v>
      </c>
      <c r="L2042" s="3" t="s">
        <v>60</v>
      </c>
      <c r="M2042" s="3" t="s">
        <v>71</v>
      </c>
      <c r="N2042" s="3" t="s">
        <v>72</v>
      </c>
    </row>
    <row r="2043" spans="1:14" x14ac:dyDescent="0.3">
      <c r="A2043" s="36" t="s">
        <v>37</v>
      </c>
      <c r="B2043" s="13">
        <v>117</v>
      </c>
      <c r="C2043" s="48" t="str">
        <f t="shared" si="80"/>
        <v>P.L. 117-328</v>
      </c>
      <c r="D2043" s="3" t="s">
        <v>3649</v>
      </c>
      <c r="E2043" s="3" t="s">
        <v>3769</v>
      </c>
      <c r="F2043" s="3" t="s">
        <v>3770</v>
      </c>
      <c r="G2043" s="48" t="str">
        <f>HYPERLINK("https://uscode.house.gov/view.xhtml?req=granuleid:USC-prelim-title42-section290bb-36&amp;num=0&amp;edition=prelim", "42 U.S.C. 290bb-36(m)")</f>
        <v>42 U.S.C. 290bb-36(m)</v>
      </c>
      <c r="H2043" s="46">
        <v>46660</v>
      </c>
      <c r="I2043" s="13">
        <v>2027</v>
      </c>
      <c r="J2043" s="47">
        <v>40000000</v>
      </c>
      <c r="K2043" s="16" t="s">
        <v>62</v>
      </c>
      <c r="L2043" s="3" t="s">
        <v>60</v>
      </c>
      <c r="M2043" s="3" t="s">
        <v>71</v>
      </c>
      <c r="N2043" s="3" t="s">
        <v>72</v>
      </c>
    </row>
    <row r="2044" spans="1:14" x14ac:dyDescent="0.3">
      <c r="A2044" s="36" t="s">
        <v>37</v>
      </c>
      <c r="B2044" s="13">
        <v>117</v>
      </c>
      <c r="C2044" s="48" t="str">
        <f t="shared" si="80"/>
        <v>P.L. 117-328</v>
      </c>
      <c r="D2044" s="3" t="s">
        <v>3649</v>
      </c>
      <c r="E2044" s="3" t="s">
        <v>3771</v>
      </c>
      <c r="F2044" s="3" t="s">
        <v>3772</v>
      </c>
      <c r="G2044" s="48" t="str">
        <f>HYPERLINK("https://uscode.house.gov/view.xhtml?req=granuleid:USC-prelim-title42-section290bb-34&amp;num=0&amp;edition=prelim", "42 U.S.C. 290bb-34(c)")</f>
        <v>42 U.S.C. 290bb-34(c)</v>
      </c>
      <c r="H2044" s="46">
        <v>46660</v>
      </c>
      <c r="I2044" s="13">
        <v>2027</v>
      </c>
      <c r="J2044" s="47">
        <v>9000000</v>
      </c>
      <c r="K2044" s="16" t="s">
        <v>62</v>
      </c>
      <c r="L2044" s="3" t="s">
        <v>60</v>
      </c>
      <c r="M2044" s="3" t="s">
        <v>71</v>
      </c>
      <c r="N2044" s="3" t="s">
        <v>72</v>
      </c>
    </row>
    <row r="2045" spans="1:14" x14ac:dyDescent="0.3">
      <c r="A2045" s="36" t="s">
        <v>37</v>
      </c>
      <c r="B2045" s="13">
        <v>117</v>
      </c>
      <c r="C2045" s="48" t="str">
        <f t="shared" si="80"/>
        <v>P.L. 117-328</v>
      </c>
      <c r="D2045" s="3" t="s">
        <v>3649</v>
      </c>
      <c r="E2045" s="3" t="s">
        <v>3773</v>
      </c>
      <c r="F2045" s="3" t="s">
        <v>3774</v>
      </c>
      <c r="G2045" s="48" t="str">
        <f>HYPERLINK("https://uscode.house.gov/view.xhtml?req=granuleid:USC-prelim-title42-section290bb-36b&amp;num=0&amp;edition=prelim", "42 U.S.C. 290bb-36b(i)")</f>
        <v>42 U.S.C. 290bb-36b(i)</v>
      </c>
      <c r="H2045" s="46">
        <v>46660</v>
      </c>
      <c r="I2045" s="13">
        <v>2027</v>
      </c>
      <c r="J2045" s="47">
        <v>7000000</v>
      </c>
      <c r="K2045" s="16" t="s">
        <v>62</v>
      </c>
      <c r="L2045" s="3" t="s">
        <v>60</v>
      </c>
      <c r="M2045" s="3" t="s">
        <v>71</v>
      </c>
      <c r="N2045" s="3" t="s">
        <v>72</v>
      </c>
    </row>
    <row r="2046" spans="1:14" x14ac:dyDescent="0.3">
      <c r="A2046" s="36" t="s">
        <v>37</v>
      </c>
      <c r="B2046" s="13">
        <v>117</v>
      </c>
      <c r="C2046" s="48" t="str">
        <f t="shared" si="80"/>
        <v>P.L. 117-328</v>
      </c>
      <c r="D2046" s="3" t="s">
        <v>3649</v>
      </c>
      <c r="E2046" s="3" t="s">
        <v>3775</v>
      </c>
      <c r="F2046" s="3" t="s">
        <v>3776</v>
      </c>
      <c r="G2046" s="48" t="str">
        <f>HYPERLINK("https://uscode.house.gov/view.xhtml?req=granuleid:USC-prelim-title42-section290ee-4&amp;num=0&amp;edition=prelim", "42 U.S.C. 290ee-4(f)")</f>
        <v>42 U.S.C. 290ee-4(f)</v>
      </c>
      <c r="H2046" s="46">
        <v>46660</v>
      </c>
      <c r="I2046" s="13">
        <v>2027</v>
      </c>
      <c r="J2046" s="47">
        <v>1000000</v>
      </c>
      <c r="K2046" s="16" t="s">
        <v>62</v>
      </c>
      <c r="L2046" s="3" t="s">
        <v>60</v>
      </c>
      <c r="M2046" s="3" t="s">
        <v>71</v>
      </c>
      <c r="N2046" s="3" t="s">
        <v>72</v>
      </c>
    </row>
    <row r="2047" spans="1:14" x14ac:dyDescent="0.3">
      <c r="A2047" s="36" t="s">
        <v>37</v>
      </c>
      <c r="B2047" s="13">
        <v>117</v>
      </c>
      <c r="C2047" s="48" t="str">
        <f t="shared" ref="C2047:C2070" si="81">HYPERLINK("https://uscode.house.gov/statutes/pl/117/328.pdf", "P.L. 117-328")</f>
        <v>P.L. 117-328</v>
      </c>
      <c r="D2047" s="3" t="s">
        <v>3649</v>
      </c>
      <c r="E2047" s="3" t="s">
        <v>3777</v>
      </c>
      <c r="F2047" s="3" t="s">
        <v>3778</v>
      </c>
      <c r="G2047" s="48" t="str">
        <f>HYPERLINK("https://uscode.house.gov/view.xhtml?req=granuleid:USC-prelim-title42-section300d-32&amp;num=0&amp;edition=prelim", "42 U.S.C. 300d-32(a)")</f>
        <v>42 U.S.C. 300d-32(a)</v>
      </c>
      <c r="H2047" s="46">
        <v>46660</v>
      </c>
      <c r="I2047" s="13">
        <v>2027</v>
      </c>
      <c r="J2047" s="47">
        <v>24000000</v>
      </c>
      <c r="K2047" s="16" t="s">
        <v>62</v>
      </c>
      <c r="L2047" s="3" t="s">
        <v>60</v>
      </c>
      <c r="M2047" s="3" t="s">
        <v>71</v>
      </c>
      <c r="N2047" s="3" t="s">
        <v>72</v>
      </c>
    </row>
    <row r="2048" spans="1:14" x14ac:dyDescent="0.3">
      <c r="A2048" s="36" t="s">
        <v>37</v>
      </c>
      <c r="B2048" s="13">
        <v>117</v>
      </c>
      <c r="C2048" s="48" t="str">
        <f t="shared" si="81"/>
        <v>P.L. 117-328</v>
      </c>
      <c r="D2048" s="3" t="s">
        <v>3649</v>
      </c>
      <c r="E2048" s="3" t="s">
        <v>3779</v>
      </c>
      <c r="F2048" s="3" t="s">
        <v>3780</v>
      </c>
      <c r="G2048" s="48" t="str">
        <f>HYPERLINK("https://uscode.house.gov/view.xhtml?req=granuleid:USC-prelim-title42-section243&amp;num=0&amp;edition=prelim", "42 U.S.C. 243")</f>
        <v>42 U.S.C. 243</v>
      </c>
      <c r="H2048" s="46">
        <v>46660</v>
      </c>
      <c r="I2048" s="13">
        <v>2027</v>
      </c>
      <c r="J2048" s="47">
        <v>35000000</v>
      </c>
      <c r="K2048" s="16" t="s">
        <v>62</v>
      </c>
      <c r="L2048" s="3" t="s">
        <v>60</v>
      </c>
      <c r="M2048" s="3" t="s">
        <v>71</v>
      </c>
      <c r="N2048" s="3" t="s">
        <v>72</v>
      </c>
    </row>
    <row r="2049" spans="1:14" x14ac:dyDescent="0.3">
      <c r="A2049" s="36" t="s">
        <v>37</v>
      </c>
      <c r="B2049" s="13">
        <v>117</v>
      </c>
      <c r="C2049" s="48" t="str">
        <f t="shared" si="81"/>
        <v>P.L. 117-328</v>
      </c>
      <c r="D2049" s="3" t="s">
        <v>3649</v>
      </c>
      <c r="E2049" s="3" t="s">
        <v>3781</v>
      </c>
      <c r="F2049" s="3" t="s">
        <v>3782</v>
      </c>
      <c r="G2049" s="48" t="str">
        <f>HYPERLINK("https://uscode.house.gov/view.xhtml?req=granuleid:USC-prelim-title42-section247d-4&amp;num=0&amp;edition=prelim", "42 U.S.C. 247d-4(h)")</f>
        <v>42 U.S.C. 247d-4(h)</v>
      </c>
      <c r="H2049" s="46">
        <v>45199</v>
      </c>
      <c r="I2049" s="13">
        <v>2023</v>
      </c>
      <c r="J2049" s="47">
        <v>25000000</v>
      </c>
      <c r="K2049" s="16" t="s">
        <v>62</v>
      </c>
      <c r="L2049" s="3" t="s">
        <v>60</v>
      </c>
      <c r="M2049" s="3" t="s">
        <v>71</v>
      </c>
      <c r="N2049" s="3" t="s">
        <v>72</v>
      </c>
    </row>
    <row r="2050" spans="1:14" x14ac:dyDescent="0.3">
      <c r="A2050" s="36" t="s">
        <v>37</v>
      </c>
      <c r="B2050" s="13">
        <v>117</v>
      </c>
      <c r="C2050" s="48" t="str">
        <f t="shared" si="81"/>
        <v>P.L. 117-328</v>
      </c>
      <c r="D2050" s="3" t="s">
        <v>3649</v>
      </c>
      <c r="E2050" s="3" t="s">
        <v>3781</v>
      </c>
      <c r="F2050" s="3" t="s">
        <v>3783</v>
      </c>
      <c r="G2050" s="48" t="str">
        <f>HYPERLINK("https://uscode.house.gov/view.xhtml?req=granuleid:USC-prelim-title42-section247d-4&amp;num=0&amp;edition=prelim", "42 U.S.C. 247d-4(h)(2)")</f>
        <v>42 U.S.C. 247d-4(h)(2)</v>
      </c>
      <c r="H2050" s="46">
        <v>45199</v>
      </c>
      <c r="I2050" s="13">
        <v>2023</v>
      </c>
      <c r="J2050" s="47">
        <v>136800000</v>
      </c>
      <c r="K2050" s="16" t="s">
        <v>62</v>
      </c>
      <c r="L2050" s="3" t="s">
        <v>60</v>
      </c>
      <c r="M2050" s="3" t="s">
        <v>71</v>
      </c>
      <c r="N2050" s="3" t="s">
        <v>72</v>
      </c>
    </row>
    <row r="2051" spans="1:14" x14ac:dyDescent="0.3">
      <c r="A2051" s="36" t="s">
        <v>37</v>
      </c>
      <c r="B2051" s="13">
        <v>117</v>
      </c>
      <c r="C2051" s="48" t="str">
        <f t="shared" si="81"/>
        <v>P.L. 117-328</v>
      </c>
      <c r="D2051" s="3" t="s">
        <v>3649</v>
      </c>
      <c r="E2051" s="3" t="s">
        <v>3784</v>
      </c>
      <c r="F2051" s="3" t="s">
        <v>3785</v>
      </c>
      <c r="G2051" s="48" t="str">
        <f>HYPERLINK("https://uscode.house.gov/view.xhtml?req=granuleid:USC-prelim-title42-section295f-1&amp;num=0&amp;edition=prelim", "42 U.S.C. 295f-1(I)")</f>
        <v>42 U.S.C. 295f-1(I)</v>
      </c>
      <c r="H2051" s="46">
        <v>45930</v>
      </c>
      <c r="I2051" s="13">
        <v>2025</v>
      </c>
      <c r="J2051" s="47">
        <v>100000000</v>
      </c>
      <c r="K2051" s="16" t="s">
        <v>62</v>
      </c>
      <c r="L2051" s="3" t="s">
        <v>60</v>
      </c>
      <c r="M2051" s="3" t="s">
        <v>71</v>
      </c>
      <c r="N2051" s="3" t="s">
        <v>72</v>
      </c>
    </row>
    <row r="2052" spans="1:14" x14ac:dyDescent="0.3">
      <c r="A2052" s="36" t="s">
        <v>37</v>
      </c>
      <c r="B2052" s="13">
        <v>117</v>
      </c>
      <c r="C2052" s="48" t="str">
        <f t="shared" si="81"/>
        <v>P.L. 117-328</v>
      </c>
      <c r="D2052" s="3" t="s">
        <v>3649</v>
      </c>
      <c r="E2052" s="3" t="s">
        <v>3786</v>
      </c>
      <c r="F2052" s="3" t="s">
        <v>3787</v>
      </c>
      <c r="G2052" s="48" t="str">
        <f>HYPERLINK("https://uscode.house.gov/view.xhtml?req=granuleid:USC-prelim-title42-section280g-11&amp;num=0&amp;edition=prelim", "42 U.S.C. 280g-11")</f>
        <v>42 U.S.C. 280g-11</v>
      </c>
      <c r="H2052" s="46">
        <v>46660</v>
      </c>
      <c r="I2052" s="13">
        <v>2027</v>
      </c>
      <c r="J2052" s="47">
        <v>50000000</v>
      </c>
      <c r="K2052" s="16" t="s">
        <v>62</v>
      </c>
      <c r="L2052" s="3" t="s">
        <v>60</v>
      </c>
      <c r="M2052" s="3" t="s">
        <v>71</v>
      </c>
      <c r="N2052" s="3" t="s">
        <v>72</v>
      </c>
    </row>
    <row r="2053" spans="1:14" x14ac:dyDescent="0.3">
      <c r="A2053" s="36" t="s">
        <v>37</v>
      </c>
      <c r="B2053" s="13">
        <v>117</v>
      </c>
      <c r="C2053" s="48" t="str">
        <f t="shared" si="81"/>
        <v>P.L. 117-328</v>
      </c>
      <c r="D2053" s="3" t="s">
        <v>3649</v>
      </c>
      <c r="E2053" s="3" t="s">
        <v>3788</v>
      </c>
      <c r="F2053" s="3" t="s">
        <v>3789</v>
      </c>
      <c r="G2053" s="48" t="str">
        <f>HYPERLINK("https://uscode.house.gov/view.xhtml?req=granuleid:USC-prelim-title42-section294b&amp;num=0&amp;edition=prelim", "42 U.S.C. 294b")</f>
        <v>42 U.S.C. 294b</v>
      </c>
      <c r="H2053" s="46">
        <v>45930</v>
      </c>
      <c r="I2053" s="13">
        <v>2025</v>
      </c>
      <c r="J2053" s="16" t="s">
        <v>12</v>
      </c>
      <c r="K2053" s="16" t="s">
        <v>62</v>
      </c>
      <c r="L2053" s="3" t="s">
        <v>60</v>
      </c>
      <c r="M2053" s="3" t="s">
        <v>71</v>
      </c>
      <c r="N2053" s="3" t="s">
        <v>72</v>
      </c>
    </row>
    <row r="2054" spans="1:14" x14ac:dyDescent="0.3">
      <c r="A2054" s="36" t="s">
        <v>37</v>
      </c>
      <c r="B2054" s="13">
        <v>117</v>
      </c>
      <c r="C2054" s="48" t="str">
        <f t="shared" si="81"/>
        <v>P.L. 117-328</v>
      </c>
      <c r="D2054" s="3" t="s">
        <v>3649</v>
      </c>
      <c r="E2054" s="3" t="s">
        <v>3790</v>
      </c>
      <c r="F2054" s="3" t="s">
        <v>3791</v>
      </c>
      <c r="G2054" s="48" t="str">
        <f>HYPERLINK("https://uscode.house.gov/view.xhtml?req=granuleid:USC-prelim-title42-section262a&amp;num=0&amp;edition=prelim", "42 U.S.C. 262a(m)")</f>
        <v>42 U.S.C. 262a(m)</v>
      </c>
      <c r="H2054" s="46">
        <v>46660</v>
      </c>
      <c r="I2054" s="13">
        <v>2027</v>
      </c>
      <c r="J2054" s="16" t="s">
        <v>12</v>
      </c>
      <c r="K2054" s="16" t="s">
        <v>62</v>
      </c>
      <c r="L2054" s="3" t="s">
        <v>60</v>
      </c>
      <c r="M2054" s="3" t="s">
        <v>71</v>
      </c>
      <c r="N2054" s="3" t="s">
        <v>122</v>
      </c>
    </row>
    <row r="2055" spans="1:14" x14ac:dyDescent="0.3">
      <c r="A2055" s="36" t="s">
        <v>37</v>
      </c>
      <c r="B2055" s="13">
        <v>117</v>
      </c>
      <c r="C2055" s="48" t="str">
        <f t="shared" si="81"/>
        <v>P.L. 117-328</v>
      </c>
      <c r="D2055" s="3" t="s">
        <v>3649</v>
      </c>
      <c r="E2055" s="3" t="s">
        <v>3792</v>
      </c>
      <c r="F2055" s="3" t="s">
        <v>3793</v>
      </c>
      <c r="G2055" s="49"/>
      <c r="H2055" s="46">
        <v>45199</v>
      </c>
      <c r="I2055" s="13">
        <v>2023</v>
      </c>
      <c r="J2055" s="47">
        <v>500000000</v>
      </c>
      <c r="K2055" s="16" t="s">
        <v>62</v>
      </c>
      <c r="L2055" s="3" t="s">
        <v>60</v>
      </c>
      <c r="M2055" s="3" t="s">
        <v>71</v>
      </c>
      <c r="N2055" s="3" t="s">
        <v>72</v>
      </c>
    </row>
    <row r="2056" spans="1:14" x14ac:dyDescent="0.3">
      <c r="A2056" s="36" t="s">
        <v>37</v>
      </c>
      <c r="B2056" s="13">
        <v>117</v>
      </c>
      <c r="C2056" s="48" t="str">
        <f t="shared" si="81"/>
        <v>P.L. 117-328</v>
      </c>
      <c r="D2056" s="3" t="s">
        <v>3649</v>
      </c>
      <c r="E2056" s="3" t="s">
        <v>3794</v>
      </c>
      <c r="F2056" s="3" t="s">
        <v>3795</v>
      </c>
      <c r="G2056" s="48" t="str">
        <f>HYPERLINK("https://uscode.house.gov/view.xhtml?req=granuleid:USC-prelim-title42-section247d-6b&amp;num=0&amp;edition=prelim", "42 U.S.C. 247d-6b")</f>
        <v>42 U.S.C. 247d-6b</v>
      </c>
      <c r="H2056" s="46">
        <v>45199</v>
      </c>
      <c r="I2056" s="13">
        <v>2023</v>
      </c>
      <c r="J2056" s="47">
        <v>750000000</v>
      </c>
      <c r="K2056" s="16" t="s">
        <v>62</v>
      </c>
      <c r="L2056" s="3" t="s">
        <v>60</v>
      </c>
      <c r="M2056" s="3" t="s">
        <v>71</v>
      </c>
      <c r="N2056" s="3" t="s">
        <v>72</v>
      </c>
    </row>
    <row r="2057" spans="1:14" x14ac:dyDescent="0.3">
      <c r="A2057" s="36" t="s">
        <v>37</v>
      </c>
      <c r="B2057" s="13">
        <v>117</v>
      </c>
      <c r="C2057" s="48" t="str">
        <f t="shared" si="81"/>
        <v>P.L. 117-328</v>
      </c>
      <c r="D2057" s="3" t="s">
        <v>3649</v>
      </c>
      <c r="E2057" s="3" t="s">
        <v>3796</v>
      </c>
      <c r="F2057" s="3" t="s">
        <v>3797</v>
      </c>
      <c r="G2057" s="48" t="str">
        <f>HYPERLINK("https://uscode.house.gov/view.xhtml?req=granuleid:USC-prelim-title42-section247d-6b&amp;num=0&amp;edition=prelim", "42 U.S.C. 247d-6b(i)")</f>
        <v>42 U.S.C. 247d-6b(i)</v>
      </c>
      <c r="H2057" s="46">
        <v>45565</v>
      </c>
      <c r="I2057" s="13">
        <v>2024</v>
      </c>
      <c r="J2057" s="47">
        <v>3500000000</v>
      </c>
      <c r="K2057" s="16" t="s">
        <v>62</v>
      </c>
      <c r="L2057" s="3" t="s">
        <v>60</v>
      </c>
      <c r="M2057" s="3" t="s">
        <v>71</v>
      </c>
      <c r="N2057" s="3" t="s">
        <v>72</v>
      </c>
    </row>
    <row r="2058" spans="1:14" x14ac:dyDescent="0.3">
      <c r="A2058" s="36" t="s">
        <v>37</v>
      </c>
      <c r="B2058" s="13">
        <v>117</v>
      </c>
      <c r="C2058" s="48" t="str">
        <f t="shared" si="81"/>
        <v>P.L. 117-328</v>
      </c>
      <c r="D2058" s="3" t="s">
        <v>3649</v>
      </c>
      <c r="E2058" s="3" t="s">
        <v>3798</v>
      </c>
      <c r="F2058" s="3" t="s">
        <v>3799</v>
      </c>
      <c r="G2058" s="48" t="str">
        <f>HYPERLINK("https://uscode.house.gov/view.xhtml?req=granuleid:USC-prelim-title21-section360bbb-5&amp;num=0&amp;edition=prelim", "21 U.S.C. 360bbb-5(f)")</f>
        <v>21 U.S.C. 360bbb-5(f)</v>
      </c>
      <c r="H2058" s="46">
        <v>46660</v>
      </c>
      <c r="I2058" s="13">
        <v>2027</v>
      </c>
      <c r="J2058" s="47">
        <v>6000000</v>
      </c>
      <c r="K2058" s="16" t="s">
        <v>62</v>
      </c>
      <c r="L2058" s="3" t="s">
        <v>60</v>
      </c>
      <c r="M2058" s="3" t="s">
        <v>71</v>
      </c>
      <c r="N2058" s="3" t="s">
        <v>406</v>
      </c>
    </row>
    <row r="2059" spans="1:14" x14ac:dyDescent="0.3">
      <c r="A2059" s="36" t="s">
        <v>37</v>
      </c>
      <c r="B2059" s="13">
        <v>117</v>
      </c>
      <c r="C2059" s="48" t="str">
        <f t="shared" si="81"/>
        <v>P.L. 117-328</v>
      </c>
      <c r="D2059" s="3" t="s">
        <v>3649</v>
      </c>
      <c r="E2059" s="3" t="s">
        <v>3800</v>
      </c>
      <c r="F2059" s="3" t="s">
        <v>3801</v>
      </c>
      <c r="G2059" s="48" t="str">
        <f>HYPERLINK("https://uscode.house.gov/view.xhtml?req=granuleid:USC-prelim-title42-section629f&amp;num=0&amp;edition=prelim", "42 U.S.C. 629f(a)")</f>
        <v>42 U.S.C. 629f(a)</v>
      </c>
      <c r="H2059" s="46">
        <v>45199</v>
      </c>
      <c r="I2059" s="13">
        <v>2023</v>
      </c>
      <c r="J2059" s="47">
        <v>345000000</v>
      </c>
      <c r="K2059" s="16" t="s">
        <v>62</v>
      </c>
      <c r="L2059" s="3" t="s">
        <v>292</v>
      </c>
      <c r="M2059" s="3" t="s">
        <v>418</v>
      </c>
      <c r="N2059" s="3" t="s">
        <v>72</v>
      </c>
    </row>
    <row r="2060" spans="1:14" x14ac:dyDescent="0.3">
      <c r="A2060" s="36" t="s">
        <v>37</v>
      </c>
      <c r="B2060" s="13">
        <v>117</v>
      </c>
      <c r="C2060" s="48" t="str">
        <f t="shared" si="81"/>
        <v>P.L. 117-328</v>
      </c>
      <c r="D2060" s="3" t="s">
        <v>3649</v>
      </c>
      <c r="E2060" s="3" t="s">
        <v>3802</v>
      </c>
      <c r="F2060" s="3" t="s">
        <v>3803</v>
      </c>
      <c r="G2060" s="48" t="str">
        <f>HYPERLINK("https://uscode.house.gov/view.xhtml?req=granuleid:USC-prelim-title42-section625&amp;num=0&amp;edition=prelim", "42 U.S.C. 625")</f>
        <v>42 U.S.C. 625</v>
      </c>
      <c r="H2060" s="46">
        <v>45199</v>
      </c>
      <c r="I2060" s="13">
        <v>2023</v>
      </c>
      <c r="J2060" s="47">
        <v>325000000</v>
      </c>
      <c r="K2060" s="16" t="s">
        <v>62</v>
      </c>
      <c r="L2060" s="3" t="s">
        <v>292</v>
      </c>
      <c r="M2060" s="3" t="s">
        <v>418</v>
      </c>
      <c r="N2060" s="3" t="s">
        <v>72</v>
      </c>
    </row>
    <row r="2061" spans="1:14" x14ac:dyDescent="0.3">
      <c r="A2061" s="36" t="s">
        <v>37</v>
      </c>
      <c r="B2061" s="13">
        <v>117</v>
      </c>
      <c r="C2061" s="48" t="str">
        <f t="shared" si="81"/>
        <v>P.L. 117-328</v>
      </c>
      <c r="D2061" s="3" t="s">
        <v>3649</v>
      </c>
      <c r="E2061" s="3" t="s">
        <v>3804</v>
      </c>
      <c r="F2061" s="3" t="s">
        <v>3805</v>
      </c>
      <c r="G2061" s="48" t="str">
        <f>HYPERLINK("https://uscode.house.gov/view.xhtml?req=granuleid:USC-prelim-title42-section629g&amp;num=0&amp;edition=prelim", "42 U.S.C. 629g(a)")</f>
        <v>42 U.S.C. 629g(a)</v>
      </c>
      <c r="H2061" s="46">
        <v>45199</v>
      </c>
      <c r="I2061" s="13">
        <v>2023</v>
      </c>
      <c r="J2061" s="47">
        <v>200000000</v>
      </c>
      <c r="K2061" s="16" t="s">
        <v>62</v>
      </c>
      <c r="L2061" s="3" t="s">
        <v>292</v>
      </c>
      <c r="M2061" s="3" t="s">
        <v>418</v>
      </c>
      <c r="N2061" s="3" t="s">
        <v>72</v>
      </c>
    </row>
    <row r="2062" spans="1:14" x14ac:dyDescent="0.3">
      <c r="A2062" s="36" t="s">
        <v>37</v>
      </c>
      <c r="B2062" s="13">
        <v>117</v>
      </c>
      <c r="C2062" s="48" t="str">
        <f t="shared" si="81"/>
        <v>P.L. 117-328</v>
      </c>
      <c r="D2062" s="3" t="s">
        <v>3649</v>
      </c>
      <c r="E2062" s="3" t="s">
        <v>3806</v>
      </c>
      <c r="F2062" s="3" t="s">
        <v>3807</v>
      </c>
      <c r="G2062" s="49"/>
      <c r="H2062" s="46">
        <v>46660</v>
      </c>
      <c r="I2062" s="13">
        <v>2027</v>
      </c>
      <c r="J2062" s="47">
        <v>1000000</v>
      </c>
      <c r="K2062" s="16" t="s">
        <v>62</v>
      </c>
      <c r="L2062" s="3" t="s">
        <v>60</v>
      </c>
      <c r="M2062" s="3" t="s">
        <v>67</v>
      </c>
      <c r="N2062" s="3" t="s">
        <v>406</v>
      </c>
    </row>
    <row r="2063" spans="1:14" x14ac:dyDescent="0.3">
      <c r="A2063" s="36" t="s">
        <v>37</v>
      </c>
      <c r="B2063" s="13">
        <v>117</v>
      </c>
      <c r="C2063" s="48" t="str">
        <f t="shared" si="81"/>
        <v>P.L. 117-328</v>
      </c>
      <c r="D2063" s="3" t="s">
        <v>3649</v>
      </c>
      <c r="E2063" s="3" t="s">
        <v>3808</v>
      </c>
      <c r="F2063" s="3" t="s">
        <v>3809</v>
      </c>
      <c r="G2063" s="49"/>
      <c r="H2063" s="46">
        <v>47026</v>
      </c>
      <c r="I2063" s="13">
        <v>2028</v>
      </c>
      <c r="J2063" s="47">
        <v>70000000</v>
      </c>
      <c r="K2063" s="16" t="s">
        <v>62</v>
      </c>
      <c r="L2063" s="3" t="s">
        <v>1105</v>
      </c>
      <c r="M2063" s="3" t="s">
        <v>586</v>
      </c>
      <c r="N2063" s="3" t="s">
        <v>406</v>
      </c>
    </row>
    <row r="2064" spans="1:14" x14ac:dyDescent="0.3">
      <c r="A2064" s="36" t="s">
        <v>37</v>
      </c>
      <c r="B2064" s="13">
        <v>117</v>
      </c>
      <c r="C2064" s="48" t="str">
        <f t="shared" si="81"/>
        <v>P.L. 117-328</v>
      </c>
      <c r="D2064" s="3" t="s">
        <v>3649</v>
      </c>
      <c r="E2064" s="3" t="s">
        <v>3810</v>
      </c>
      <c r="F2064" s="3" t="s">
        <v>3811</v>
      </c>
      <c r="G2064" s="49"/>
      <c r="H2064" s="46">
        <v>48487</v>
      </c>
      <c r="I2064" s="13">
        <v>2032</v>
      </c>
      <c r="J2064" s="47">
        <v>50000000</v>
      </c>
      <c r="K2064" s="16" t="s">
        <v>62</v>
      </c>
      <c r="L2064" s="3" t="s">
        <v>60</v>
      </c>
      <c r="M2064" s="3" t="s">
        <v>148</v>
      </c>
      <c r="N2064" s="3" t="s">
        <v>43</v>
      </c>
    </row>
    <row r="2065" spans="1:14" x14ac:dyDescent="0.3">
      <c r="A2065" s="36" t="s">
        <v>37</v>
      </c>
      <c r="B2065" s="13">
        <v>117</v>
      </c>
      <c r="C2065" s="48" t="str">
        <f t="shared" si="81"/>
        <v>P.L. 117-328</v>
      </c>
      <c r="D2065" s="3" t="s">
        <v>3649</v>
      </c>
      <c r="E2065" s="3" t="s">
        <v>3812</v>
      </c>
      <c r="F2065" s="3" t="s">
        <v>3813</v>
      </c>
      <c r="G2065" s="49"/>
      <c r="H2065" s="46">
        <v>45199</v>
      </c>
      <c r="I2065" s="13">
        <v>2023</v>
      </c>
      <c r="J2065" s="47">
        <v>300000</v>
      </c>
      <c r="K2065" s="16" t="s">
        <v>62</v>
      </c>
      <c r="L2065" s="3" t="s">
        <v>60</v>
      </c>
      <c r="M2065" s="3" t="s">
        <v>148</v>
      </c>
      <c r="N2065" s="3" t="s">
        <v>43</v>
      </c>
    </row>
    <row r="2066" spans="1:14" x14ac:dyDescent="0.3">
      <c r="A2066" s="36" t="s">
        <v>37</v>
      </c>
      <c r="B2066" s="13">
        <v>117</v>
      </c>
      <c r="C2066" s="48" t="str">
        <f t="shared" si="81"/>
        <v>P.L. 117-328</v>
      </c>
      <c r="D2066" s="3" t="s">
        <v>3649</v>
      </c>
      <c r="E2066" s="3" t="s">
        <v>3814</v>
      </c>
      <c r="F2066" s="3" t="s">
        <v>3815</v>
      </c>
      <c r="G2066" s="48" t="str">
        <f>HYPERLINK("https://uscode.house.gov/view.xhtml?req=granuleid:USC-prelim-title42-section284&amp;num=0&amp;edition=prelim", "42 U.S.C. 284(m(d)(1))")</f>
        <v>42 U.S.C. 284(m(d)(1))</v>
      </c>
      <c r="H2066" s="46">
        <v>46660</v>
      </c>
      <c r="I2066" s="13">
        <v>2027</v>
      </c>
      <c r="J2066" s="47">
        <v>25000000</v>
      </c>
      <c r="K2066" s="16" t="s">
        <v>62</v>
      </c>
      <c r="L2066" s="3" t="s">
        <v>60</v>
      </c>
      <c r="M2066" s="3" t="s">
        <v>71</v>
      </c>
      <c r="N2066" s="3" t="s">
        <v>406</v>
      </c>
    </row>
    <row r="2067" spans="1:14" x14ac:dyDescent="0.3">
      <c r="A2067" s="36" t="s">
        <v>37</v>
      </c>
      <c r="B2067" s="13">
        <v>117</v>
      </c>
      <c r="C2067" s="48" t="str">
        <f t="shared" si="81"/>
        <v>P.L. 117-328</v>
      </c>
      <c r="D2067" s="3" t="s">
        <v>3649</v>
      </c>
      <c r="E2067" s="3" t="s">
        <v>3816</v>
      </c>
      <c r="F2067" s="3" t="s">
        <v>3817</v>
      </c>
      <c r="G2067" s="49"/>
      <c r="H2067" s="46">
        <v>46660</v>
      </c>
      <c r="I2067" s="13">
        <v>2027</v>
      </c>
      <c r="J2067" s="47">
        <v>7000000</v>
      </c>
      <c r="K2067" s="16" t="s">
        <v>62</v>
      </c>
      <c r="L2067" s="3" t="s">
        <v>60</v>
      </c>
      <c r="M2067" s="3" t="s">
        <v>71</v>
      </c>
      <c r="N2067" s="3" t="s">
        <v>406</v>
      </c>
    </row>
    <row r="2068" spans="1:14" x14ac:dyDescent="0.3">
      <c r="A2068" s="36" t="s">
        <v>37</v>
      </c>
      <c r="B2068" s="13">
        <v>117</v>
      </c>
      <c r="C2068" s="48" t="str">
        <f t="shared" si="81"/>
        <v>P.L. 117-328</v>
      </c>
      <c r="D2068" s="3" t="s">
        <v>3649</v>
      </c>
      <c r="E2068" s="3" t="s">
        <v>3818</v>
      </c>
      <c r="F2068" s="3" t="s">
        <v>3819</v>
      </c>
      <c r="G2068" s="49"/>
      <c r="H2068" s="46">
        <v>46660</v>
      </c>
      <c r="I2068" s="13">
        <v>2027</v>
      </c>
      <c r="J2068" s="47">
        <v>30000000</v>
      </c>
      <c r="K2068" s="16" t="s">
        <v>62</v>
      </c>
      <c r="L2068" s="3" t="s">
        <v>60</v>
      </c>
      <c r="M2068" s="3" t="s">
        <v>71</v>
      </c>
      <c r="N2068" s="3" t="s">
        <v>406</v>
      </c>
    </row>
    <row r="2069" spans="1:14" x14ac:dyDescent="0.3">
      <c r="A2069" s="36" t="s">
        <v>37</v>
      </c>
      <c r="B2069" s="13">
        <v>117</v>
      </c>
      <c r="C2069" s="48" t="str">
        <f t="shared" si="81"/>
        <v>P.L. 117-328</v>
      </c>
      <c r="D2069" s="3" t="s">
        <v>3649</v>
      </c>
      <c r="E2069" s="3" t="s">
        <v>3820</v>
      </c>
      <c r="F2069" s="3" t="s">
        <v>3821</v>
      </c>
      <c r="G2069" s="49"/>
      <c r="H2069" s="46">
        <v>39355</v>
      </c>
      <c r="I2069" s="13">
        <v>2007</v>
      </c>
      <c r="J2069" s="47">
        <v>100000000</v>
      </c>
      <c r="K2069" s="16" t="s">
        <v>62</v>
      </c>
      <c r="L2069" s="3" t="s">
        <v>60</v>
      </c>
      <c r="M2069" s="3" t="s">
        <v>71</v>
      </c>
      <c r="N2069" s="3" t="s">
        <v>406</v>
      </c>
    </row>
    <row r="2070" spans="1:14" x14ac:dyDescent="0.3">
      <c r="A2070" s="36" t="s">
        <v>37</v>
      </c>
      <c r="B2070" s="13">
        <v>117</v>
      </c>
      <c r="C2070" s="48" t="str">
        <f t="shared" si="81"/>
        <v>P.L. 117-328</v>
      </c>
      <c r="D2070" s="3" t="s">
        <v>3649</v>
      </c>
      <c r="E2070" s="3" t="s">
        <v>3822</v>
      </c>
      <c r="F2070" s="3" t="s">
        <v>3823</v>
      </c>
      <c r="G2070" s="49"/>
      <c r="H2070" s="46">
        <v>46660</v>
      </c>
      <c r="I2070" s="13">
        <v>2027</v>
      </c>
      <c r="J2070" s="47">
        <v>41890000</v>
      </c>
      <c r="K2070" s="16" t="s">
        <v>62</v>
      </c>
      <c r="L2070" s="3" t="s">
        <v>60</v>
      </c>
      <c r="M2070" s="3" t="s">
        <v>71</v>
      </c>
      <c r="N2070" s="3" t="s">
        <v>406</v>
      </c>
    </row>
    <row r="2071" spans="1:14" x14ac:dyDescent="0.3">
      <c r="A2071" s="36" t="s">
        <v>37</v>
      </c>
      <c r="B2071" s="13">
        <v>117</v>
      </c>
      <c r="C2071" s="48" t="str">
        <f t="shared" ref="C2071:C2115" si="82">HYPERLINK("https://uscode.house.gov/statutes/pl/117/339.pdf", "P.L. 117-339")</f>
        <v>P.L. 117-339</v>
      </c>
      <c r="D2071" s="3" t="s">
        <v>3824</v>
      </c>
      <c r="E2071" s="3" t="s">
        <v>3825</v>
      </c>
      <c r="F2071" s="3" t="s">
        <v>3826</v>
      </c>
      <c r="G2071" s="48" t="str">
        <f t="shared" ref="G2071:G2115" si="83">HYPERLINK("https://uscode.house.gov/view.xhtml?req=granuleid:USC-prelim-title54-section320101&amp;num=0&amp;edition=prelim", "54 U.S.C. 320101(note)")</f>
        <v>54 U.S.C. 320101(note)</v>
      </c>
      <c r="H2071" s="46">
        <v>50313</v>
      </c>
      <c r="I2071" s="13">
        <v>2037</v>
      </c>
      <c r="J2071" s="47">
        <v>1000000</v>
      </c>
      <c r="K2071" s="16" t="s">
        <v>62</v>
      </c>
      <c r="L2071" s="3" t="s">
        <v>47</v>
      </c>
      <c r="M2071" s="3" t="s">
        <v>48</v>
      </c>
      <c r="N2071" s="3" t="s">
        <v>49</v>
      </c>
    </row>
    <row r="2072" spans="1:14" x14ac:dyDescent="0.3">
      <c r="A2072" s="36" t="s">
        <v>37</v>
      </c>
      <c r="B2072" s="13">
        <v>117</v>
      </c>
      <c r="C2072" s="48" t="str">
        <f t="shared" si="82"/>
        <v>P.L. 117-339</v>
      </c>
      <c r="D2072" s="3" t="s">
        <v>3824</v>
      </c>
      <c r="E2072" s="3" t="s">
        <v>3825</v>
      </c>
      <c r="F2072" s="3" t="s">
        <v>3827</v>
      </c>
      <c r="G2072" s="48" t="str">
        <f t="shared" si="83"/>
        <v>54 U.S.C. 320101(note)</v>
      </c>
      <c r="H2072" s="46">
        <v>50313</v>
      </c>
      <c r="I2072" s="13">
        <v>2037</v>
      </c>
      <c r="J2072" s="47">
        <v>1000000</v>
      </c>
      <c r="K2072" s="16" t="s">
        <v>62</v>
      </c>
      <c r="L2072" s="3" t="s">
        <v>47</v>
      </c>
      <c r="M2072" s="3" t="s">
        <v>48</v>
      </c>
      <c r="N2072" s="3" t="s">
        <v>49</v>
      </c>
    </row>
    <row r="2073" spans="1:14" x14ac:dyDescent="0.3">
      <c r="A2073" s="36" t="s">
        <v>37</v>
      </c>
      <c r="B2073" s="13">
        <v>117</v>
      </c>
      <c r="C2073" s="48" t="str">
        <f t="shared" si="82"/>
        <v>P.L. 117-339</v>
      </c>
      <c r="D2073" s="3" t="s">
        <v>3824</v>
      </c>
      <c r="E2073" s="3" t="s">
        <v>3825</v>
      </c>
      <c r="F2073" s="3" t="s">
        <v>3828</v>
      </c>
      <c r="G2073" s="48" t="str">
        <f t="shared" si="83"/>
        <v>54 U.S.C. 320101(note)</v>
      </c>
      <c r="H2073" s="46">
        <v>50313</v>
      </c>
      <c r="I2073" s="13">
        <v>2037</v>
      </c>
      <c r="J2073" s="47">
        <v>1000000</v>
      </c>
      <c r="K2073" s="16" t="s">
        <v>62</v>
      </c>
      <c r="L2073" s="3" t="s">
        <v>47</v>
      </c>
      <c r="M2073" s="3" t="s">
        <v>48</v>
      </c>
      <c r="N2073" s="3" t="s">
        <v>49</v>
      </c>
    </row>
    <row r="2074" spans="1:14" x14ac:dyDescent="0.3">
      <c r="A2074" s="36" t="s">
        <v>37</v>
      </c>
      <c r="B2074" s="13">
        <v>117</v>
      </c>
      <c r="C2074" s="48" t="str">
        <f t="shared" si="82"/>
        <v>P.L. 117-339</v>
      </c>
      <c r="D2074" s="3" t="s">
        <v>3824</v>
      </c>
      <c r="E2074" s="3" t="s">
        <v>3825</v>
      </c>
      <c r="F2074" s="3" t="s">
        <v>3829</v>
      </c>
      <c r="G2074" s="48" t="str">
        <f t="shared" si="83"/>
        <v>54 U.S.C. 320101(note)</v>
      </c>
      <c r="H2074" s="46">
        <v>50313</v>
      </c>
      <c r="I2074" s="13">
        <v>2037</v>
      </c>
      <c r="J2074" s="47">
        <v>1000000</v>
      </c>
      <c r="K2074" s="16" t="s">
        <v>62</v>
      </c>
      <c r="L2074" s="3" t="s">
        <v>47</v>
      </c>
      <c r="M2074" s="3" t="s">
        <v>48</v>
      </c>
      <c r="N2074" s="3" t="s">
        <v>49</v>
      </c>
    </row>
    <row r="2075" spans="1:14" x14ac:dyDescent="0.3">
      <c r="A2075" s="36" t="s">
        <v>37</v>
      </c>
      <c r="B2075" s="13">
        <v>117</v>
      </c>
      <c r="C2075" s="48" t="str">
        <f t="shared" si="82"/>
        <v>P.L. 117-339</v>
      </c>
      <c r="D2075" s="3" t="s">
        <v>3824</v>
      </c>
      <c r="E2075" s="3" t="s">
        <v>3825</v>
      </c>
      <c r="F2075" s="3" t="s">
        <v>3830</v>
      </c>
      <c r="G2075" s="48" t="str">
        <f t="shared" si="83"/>
        <v>54 U.S.C. 320101(note)</v>
      </c>
      <c r="H2075" s="46">
        <v>50313</v>
      </c>
      <c r="I2075" s="13">
        <v>2037</v>
      </c>
      <c r="J2075" s="16" t="s">
        <v>12</v>
      </c>
      <c r="K2075" s="16" t="s">
        <v>62</v>
      </c>
      <c r="L2075" s="3" t="s">
        <v>47</v>
      </c>
      <c r="M2075" s="3" t="s">
        <v>48</v>
      </c>
      <c r="N2075" s="3" t="s">
        <v>49</v>
      </c>
    </row>
    <row r="2076" spans="1:14" x14ac:dyDescent="0.3">
      <c r="A2076" s="36" t="s">
        <v>37</v>
      </c>
      <c r="B2076" s="13">
        <v>117</v>
      </c>
      <c r="C2076" s="48" t="str">
        <f t="shared" si="82"/>
        <v>P.L. 117-339</v>
      </c>
      <c r="D2076" s="3" t="s">
        <v>3824</v>
      </c>
      <c r="E2076" s="3" t="s">
        <v>3825</v>
      </c>
      <c r="F2076" s="3" t="s">
        <v>3831</v>
      </c>
      <c r="G2076" s="48" t="str">
        <f t="shared" si="83"/>
        <v>54 U.S.C. 320101(note)</v>
      </c>
      <c r="H2076" s="46">
        <v>50313</v>
      </c>
      <c r="I2076" s="13">
        <v>2037</v>
      </c>
      <c r="J2076" s="47">
        <v>1000000</v>
      </c>
      <c r="K2076" s="16" t="s">
        <v>62</v>
      </c>
      <c r="L2076" s="3" t="s">
        <v>47</v>
      </c>
      <c r="M2076" s="3" t="s">
        <v>48</v>
      </c>
      <c r="N2076" s="3" t="s">
        <v>49</v>
      </c>
    </row>
    <row r="2077" spans="1:14" x14ac:dyDescent="0.3">
      <c r="A2077" s="36" t="s">
        <v>37</v>
      </c>
      <c r="B2077" s="13">
        <v>117</v>
      </c>
      <c r="C2077" s="48" t="str">
        <f t="shared" si="82"/>
        <v>P.L. 117-339</v>
      </c>
      <c r="D2077" s="3" t="s">
        <v>3824</v>
      </c>
      <c r="E2077" s="3" t="s">
        <v>3825</v>
      </c>
      <c r="F2077" s="3" t="s">
        <v>3832</v>
      </c>
      <c r="G2077" s="48" t="str">
        <f t="shared" si="83"/>
        <v>54 U.S.C. 320101(note)</v>
      </c>
      <c r="H2077" s="46">
        <v>50313</v>
      </c>
      <c r="I2077" s="13">
        <v>2037</v>
      </c>
      <c r="J2077" s="47">
        <v>1000000</v>
      </c>
      <c r="K2077" s="16" t="s">
        <v>62</v>
      </c>
      <c r="L2077" s="3" t="s">
        <v>47</v>
      </c>
      <c r="M2077" s="3" t="s">
        <v>48</v>
      </c>
      <c r="N2077" s="3" t="s">
        <v>49</v>
      </c>
    </row>
    <row r="2078" spans="1:14" x14ac:dyDescent="0.3">
      <c r="A2078" s="36" t="s">
        <v>37</v>
      </c>
      <c r="B2078" s="13">
        <v>117</v>
      </c>
      <c r="C2078" s="48" t="str">
        <f t="shared" si="82"/>
        <v>P.L. 117-339</v>
      </c>
      <c r="D2078" s="3" t="s">
        <v>3824</v>
      </c>
      <c r="E2078" s="3" t="s">
        <v>3825</v>
      </c>
      <c r="F2078" s="3" t="s">
        <v>3833</v>
      </c>
      <c r="G2078" s="48" t="str">
        <f t="shared" si="83"/>
        <v>54 U.S.C. 320101(note)</v>
      </c>
      <c r="H2078" s="46">
        <v>50313</v>
      </c>
      <c r="I2078" s="13">
        <v>2037</v>
      </c>
      <c r="J2078" s="47">
        <v>1000000</v>
      </c>
      <c r="K2078" s="16" t="s">
        <v>62</v>
      </c>
      <c r="L2078" s="3" t="s">
        <v>47</v>
      </c>
      <c r="M2078" s="3" t="s">
        <v>48</v>
      </c>
      <c r="N2078" s="3" t="s">
        <v>49</v>
      </c>
    </row>
    <row r="2079" spans="1:14" x14ac:dyDescent="0.3">
      <c r="A2079" s="36" t="s">
        <v>37</v>
      </c>
      <c r="B2079" s="13">
        <v>117</v>
      </c>
      <c r="C2079" s="48" t="str">
        <f t="shared" si="82"/>
        <v>P.L. 117-339</v>
      </c>
      <c r="D2079" s="3" t="s">
        <v>3824</v>
      </c>
      <c r="E2079" s="3" t="s">
        <v>3825</v>
      </c>
      <c r="F2079" s="3" t="s">
        <v>3834</v>
      </c>
      <c r="G2079" s="48" t="str">
        <f t="shared" si="83"/>
        <v>54 U.S.C. 320101(note)</v>
      </c>
      <c r="H2079" s="46">
        <v>50313</v>
      </c>
      <c r="I2079" s="13">
        <v>2037</v>
      </c>
      <c r="J2079" s="47">
        <v>100000</v>
      </c>
      <c r="K2079" s="16" t="s">
        <v>62</v>
      </c>
      <c r="L2079" s="3" t="s">
        <v>47</v>
      </c>
      <c r="M2079" s="3" t="s">
        <v>48</v>
      </c>
      <c r="N2079" s="3" t="s">
        <v>49</v>
      </c>
    </row>
    <row r="2080" spans="1:14" x14ac:dyDescent="0.3">
      <c r="A2080" s="36" t="s">
        <v>37</v>
      </c>
      <c r="B2080" s="13">
        <v>117</v>
      </c>
      <c r="C2080" s="48" t="str">
        <f t="shared" si="82"/>
        <v>P.L. 117-339</v>
      </c>
      <c r="D2080" s="3" t="s">
        <v>3824</v>
      </c>
      <c r="E2080" s="3" t="s">
        <v>3825</v>
      </c>
      <c r="F2080" s="3" t="s">
        <v>3835</v>
      </c>
      <c r="G2080" s="48" t="str">
        <f t="shared" si="83"/>
        <v>54 U.S.C. 320101(note)</v>
      </c>
      <c r="H2080" s="46">
        <v>50313</v>
      </c>
      <c r="I2080" s="13">
        <v>2037</v>
      </c>
      <c r="J2080" s="47">
        <v>1000000</v>
      </c>
      <c r="K2080" s="16" t="s">
        <v>62</v>
      </c>
      <c r="L2080" s="3" t="s">
        <v>47</v>
      </c>
      <c r="M2080" s="3" t="s">
        <v>48</v>
      </c>
      <c r="N2080" s="3" t="s">
        <v>49</v>
      </c>
    </row>
    <row r="2081" spans="1:14" x14ac:dyDescent="0.3">
      <c r="A2081" s="36" t="s">
        <v>37</v>
      </c>
      <c r="B2081" s="13">
        <v>117</v>
      </c>
      <c r="C2081" s="48" t="str">
        <f t="shared" si="82"/>
        <v>P.L. 117-339</v>
      </c>
      <c r="D2081" s="3" t="s">
        <v>3824</v>
      </c>
      <c r="E2081" s="3" t="s">
        <v>3825</v>
      </c>
      <c r="F2081" s="3" t="s">
        <v>3836</v>
      </c>
      <c r="G2081" s="48" t="str">
        <f t="shared" si="83"/>
        <v>54 U.S.C. 320101(note)</v>
      </c>
      <c r="H2081" s="46">
        <v>50313</v>
      </c>
      <c r="I2081" s="13">
        <v>2037</v>
      </c>
      <c r="J2081" s="47">
        <v>1000000</v>
      </c>
      <c r="K2081" s="16" t="s">
        <v>62</v>
      </c>
      <c r="L2081" s="3" t="s">
        <v>47</v>
      </c>
      <c r="M2081" s="3" t="s">
        <v>48</v>
      </c>
      <c r="N2081" s="3" t="s">
        <v>49</v>
      </c>
    </row>
    <row r="2082" spans="1:14" x14ac:dyDescent="0.3">
      <c r="A2082" s="36" t="s">
        <v>37</v>
      </c>
      <c r="B2082" s="13">
        <v>117</v>
      </c>
      <c r="C2082" s="48" t="str">
        <f t="shared" si="82"/>
        <v>P.L. 117-339</v>
      </c>
      <c r="D2082" s="3" t="s">
        <v>3824</v>
      </c>
      <c r="E2082" s="3" t="s">
        <v>3825</v>
      </c>
      <c r="F2082" s="3" t="s">
        <v>3837</v>
      </c>
      <c r="G2082" s="48" t="str">
        <f t="shared" si="83"/>
        <v>54 U.S.C. 320101(note)</v>
      </c>
      <c r="H2082" s="46">
        <v>50313</v>
      </c>
      <c r="I2082" s="13">
        <v>2037</v>
      </c>
      <c r="J2082" s="47">
        <v>1000000</v>
      </c>
      <c r="K2082" s="16" t="s">
        <v>62</v>
      </c>
      <c r="L2082" s="3" t="s">
        <v>47</v>
      </c>
      <c r="M2082" s="3" t="s">
        <v>48</v>
      </c>
      <c r="N2082" s="3" t="s">
        <v>49</v>
      </c>
    </row>
    <row r="2083" spans="1:14" x14ac:dyDescent="0.3">
      <c r="A2083" s="36" t="s">
        <v>37</v>
      </c>
      <c r="B2083" s="13">
        <v>117</v>
      </c>
      <c r="C2083" s="48" t="str">
        <f t="shared" si="82"/>
        <v>P.L. 117-339</v>
      </c>
      <c r="D2083" s="3" t="s">
        <v>3824</v>
      </c>
      <c r="E2083" s="3" t="s">
        <v>3825</v>
      </c>
      <c r="F2083" s="3" t="s">
        <v>3838</v>
      </c>
      <c r="G2083" s="48" t="str">
        <f t="shared" si="83"/>
        <v>54 U.S.C. 320101(note)</v>
      </c>
      <c r="H2083" s="46">
        <v>50313</v>
      </c>
      <c r="I2083" s="13">
        <v>2037</v>
      </c>
      <c r="J2083" s="47">
        <v>1000000</v>
      </c>
      <c r="K2083" s="16" t="s">
        <v>62</v>
      </c>
      <c r="L2083" s="3" t="s">
        <v>47</v>
      </c>
      <c r="M2083" s="3" t="s">
        <v>48</v>
      </c>
      <c r="N2083" s="3" t="s">
        <v>49</v>
      </c>
    </row>
    <row r="2084" spans="1:14" x14ac:dyDescent="0.3">
      <c r="A2084" s="36" t="s">
        <v>37</v>
      </c>
      <c r="B2084" s="13">
        <v>117</v>
      </c>
      <c r="C2084" s="48" t="str">
        <f t="shared" si="82"/>
        <v>P.L. 117-339</v>
      </c>
      <c r="D2084" s="3" t="s">
        <v>3824</v>
      </c>
      <c r="E2084" s="3" t="s">
        <v>3825</v>
      </c>
      <c r="F2084" s="3" t="s">
        <v>3839</v>
      </c>
      <c r="G2084" s="48" t="str">
        <f t="shared" si="83"/>
        <v>54 U.S.C. 320101(note)</v>
      </c>
      <c r="H2084" s="46">
        <v>50313</v>
      </c>
      <c r="I2084" s="13">
        <v>2037</v>
      </c>
      <c r="J2084" s="47">
        <v>1000000</v>
      </c>
      <c r="K2084" s="16" t="s">
        <v>62</v>
      </c>
      <c r="L2084" s="3" t="s">
        <v>47</v>
      </c>
      <c r="M2084" s="3" t="s">
        <v>48</v>
      </c>
      <c r="N2084" s="3" t="s">
        <v>49</v>
      </c>
    </row>
    <row r="2085" spans="1:14" x14ac:dyDescent="0.3">
      <c r="A2085" s="36" t="s">
        <v>37</v>
      </c>
      <c r="B2085" s="13">
        <v>117</v>
      </c>
      <c r="C2085" s="48" t="str">
        <f t="shared" si="82"/>
        <v>P.L. 117-339</v>
      </c>
      <c r="D2085" s="3" t="s">
        <v>3824</v>
      </c>
      <c r="E2085" s="3" t="s">
        <v>3825</v>
      </c>
      <c r="F2085" s="3" t="s">
        <v>3840</v>
      </c>
      <c r="G2085" s="48" t="str">
        <f t="shared" si="83"/>
        <v>54 U.S.C. 320101(note)</v>
      </c>
      <c r="H2085" s="46">
        <v>50313</v>
      </c>
      <c r="I2085" s="13">
        <v>2037</v>
      </c>
      <c r="J2085" s="47">
        <v>1000000</v>
      </c>
      <c r="K2085" s="16" t="s">
        <v>62</v>
      </c>
      <c r="L2085" s="3" t="s">
        <v>47</v>
      </c>
      <c r="M2085" s="3" t="s">
        <v>48</v>
      </c>
      <c r="N2085" s="3" t="s">
        <v>49</v>
      </c>
    </row>
    <row r="2086" spans="1:14" x14ac:dyDescent="0.3">
      <c r="A2086" s="36" t="s">
        <v>37</v>
      </c>
      <c r="B2086" s="13">
        <v>117</v>
      </c>
      <c r="C2086" s="48" t="str">
        <f t="shared" si="82"/>
        <v>P.L. 117-339</v>
      </c>
      <c r="D2086" s="3" t="s">
        <v>3824</v>
      </c>
      <c r="E2086" s="3" t="s">
        <v>3825</v>
      </c>
      <c r="F2086" s="3" t="s">
        <v>3841</v>
      </c>
      <c r="G2086" s="48" t="str">
        <f t="shared" si="83"/>
        <v>54 U.S.C. 320101(note)</v>
      </c>
      <c r="H2086" s="46">
        <v>50313</v>
      </c>
      <c r="I2086" s="13">
        <v>2037</v>
      </c>
      <c r="J2086" s="47">
        <v>1000000</v>
      </c>
      <c r="K2086" s="16" t="s">
        <v>62</v>
      </c>
      <c r="L2086" s="3" t="s">
        <v>47</v>
      </c>
      <c r="M2086" s="3" t="s">
        <v>48</v>
      </c>
      <c r="N2086" s="3" t="s">
        <v>49</v>
      </c>
    </row>
    <row r="2087" spans="1:14" x14ac:dyDescent="0.3">
      <c r="A2087" s="36" t="s">
        <v>37</v>
      </c>
      <c r="B2087" s="13">
        <v>117</v>
      </c>
      <c r="C2087" s="48" t="str">
        <f t="shared" si="82"/>
        <v>P.L. 117-339</v>
      </c>
      <c r="D2087" s="3" t="s">
        <v>3824</v>
      </c>
      <c r="E2087" s="3" t="s">
        <v>3825</v>
      </c>
      <c r="F2087" s="3" t="s">
        <v>3842</v>
      </c>
      <c r="G2087" s="48" t="str">
        <f t="shared" si="83"/>
        <v>54 U.S.C. 320101(note)</v>
      </c>
      <c r="H2087" s="46">
        <v>50313</v>
      </c>
      <c r="I2087" s="13">
        <v>2037</v>
      </c>
      <c r="J2087" s="47">
        <v>1000000</v>
      </c>
      <c r="K2087" s="16" t="s">
        <v>62</v>
      </c>
      <c r="L2087" s="3" t="s">
        <v>47</v>
      </c>
      <c r="M2087" s="3" t="s">
        <v>48</v>
      </c>
      <c r="N2087" s="3" t="s">
        <v>49</v>
      </c>
    </row>
    <row r="2088" spans="1:14" x14ac:dyDescent="0.3">
      <c r="A2088" s="36" t="s">
        <v>37</v>
      </c>
      <c r="B2088" s="13">
        <v>117</v>
      </c>
      <c r="C2088" s="48" t="str">
        <f t="shared" si="82"/>
        <v>P.L. 117-339</v>
      </c>
      <c r="D2088" s="3" t="s">
        <v>3824</v>
      </c>
      <c r="E2088" s="3" t="s">
        <v>3825</v>
      </c>
      <c r="F2088" s="3" t="s">
        <v>3843</v>
      </c>
      <c r="G2088" s="48" t="str">
        <f t="shared" si="83"/>
        <v>54 U.S.C. 320101(note)</v>
      </c>
      <c r="H2088" s="46">
        <v>50313</v>
      </c>
      <c r="I2088" s="13">
        <v>2037</v>
      </c>
      <c r="J2088" s="47">
        <v>1000000</v>
      </c>
      <c r="K2088" s="16" t="s">
        <v>62</v>
      </c>
      <c r="L2088" s="3" t="s">
        <v>47</v>
      </c>
      <c r="M2088" s="3" t="s">
        <v>48</v>
      </c>
      <c r="N2088" s="3" t="s">
        <v>49</v>
      </c>
    </row>
    <row r="2089" spans="1:14" x14ac:dyDescent="0.3">
      <c r="A2089" s="36" t="s">
        <v>37</v>
      </c>
      <c r="B2089" s="13">
        <v>117</v>
      </c>
      <c r="C2089" s="48" t="str">
        <f t="shared" si="82"/>
        <v>P.L. 117-339</v>
      </c>
      <c r="D2089" s="3" t="s">
        <v>3824</v>
      </c>
      <c r="E2089" s="3" t="s">
        <v>3825</v>
      </c>
      <c r="F2089" s="3" t="s">
        <v>3844</v>
      </c>
      <c r="G2089" s="48" t="str">
        <f t="shared" si="83"/>
        <v>54 U.S.C. 320101(note)</v>
      </c>
      <c r="H2089" s="46">
        <v>50313</v>
      </c>
      <c r="I2089" s="13">
        <v>2037</v>
      </c>
      <c r="J2089" s="47">
        <v>1000000</v>
      </c>
      <c r="K2089" s="16" t="s">
        <v>62</v>
      </c>
      <c r="L2089" s="3" t="s">
        <v>47</v>
      </c>
      <c r="M2089" s="3" t="s">
        <v>48</v>
      </c>
      <c r="N2089" s="3" t="s">
        <v>49</v>
      </c>
    </row>
    <row r="2090" spans="1:14" x14ac:dyDescent="0.3">
      <c r="A2090" s="36" t="s">
        <v>37</v>
      </c>
      <c r="B2090" s="13">
        <v>117</v>
      </c>
      <c r="C2090" s="48" t="str">
        <f t="shared" si="82"/>
        <v>P.L. 117-339</v>
      </c>
      <c r="D2090" s="3" t="s">
        <v>3824</v>
      </c>
      <c r="E2090" s="3" t="s">
        <v>3825</v>
      </c>
      <c r="F2090" s="3" t="s">
        <v>3845</v>
      </c>
      <c r="G2090" s="48" t="str">
        <f t="shared" si="83"/>
        <v>54 U.S.C. 320101(note)</v>
      </c>
      <c r="H2090" s="46">
        <v>50313</v>
      </c>
      <c r="I2090" s="13">
        <v>2037</v>
      </c>
      <c r="J2090" s="47">
        <v>1000000</v>
      </c>
      <c r="K2090" s="16" t="s">
        <v>62</v>
      </c>
      <c r="L2090" s="3" t="s">
        <v>47</v>
      </c>
      <c r="M2090" s="3" t="s">
        <v>48</v>
      </c>
      <c r="N2090" s="3" t="s">
        <v>49</v>
      </c>
    </row>
    <row r="2091" spans="1:14" x14ac:dyDescent="0.3">
      <c r="A2091" s="36" t="s">
        <v>37</v>
      </c>
      <c r="B2091" s="13">
        <v>117</v>
      </c>
      <c r="C2091" s="48" t="str">
        <f t="shared" si="82"/>
        <v>P.L. 117-339</v>
      </c>
      <c r="D2091" s="3" t="s">
        <v>3824</v>
      </c>
      <c r="E2091" s="3" t="s">
        <v>3825</v>
      </c>
      <c r="F2091" s="3" t="s">
        <v>3846</v>
      </c>
      <c r="G2091" s="48" t="str">
        <f t="shared" si="83"/>
        <v>54 U.S.C. 320101(note)</v>
      </c>
      <c r="H2091" s="46">
        <v>50313</v>
      </c>
      <c r="I2091" s="13">
        <v>2037</v>
      </c>
      <c r="J2091" s="47">
        <v>1000000</v>
      </c>
      <c r="K2091" s="16" t="s">
        <v>62</v>
      </c>
      <c r="L2091" s="3" t="s">
        <v>47</v>
      </c>
      <c r="M2091" s="3" t="s">
        <v>48</v>
      </c>
      <c r="N2091" s="3" t="s">
        <v>49</v>
      </c>
    </row>
    <row r="2092" spans="1:14" x14ac:dyDescent="0.3">
      <c r="A2092" s="36" t="s">
        <v>37</v>
      </c>
      <c r="B2092" s="13">
        <v>117</v>
      </c>
      <c r="C2092" s="48" t="str">
        <f t="shared" si="82"/>
        <v>P.L. 117-339</v>
      </c>
      <c r="D2092" s="3" t="s">
        <v>3824</v>
      </c>
      <c r="E2092" s="3" t="s">
        <v>3825</v>
      </c>
      <c r="F2092" s="3" t="s">
        <v>3847</v>
      </c>
      <c r="G2092" s="48" t="str">
        <f t="shared" si="83"/>
        <v>54 U.S.C. 320101(note)</v>
      </c>
      <c r="H2092" s="46">
        <v>50313</v>
      </c>
      <c r="I2092" s="13">
        <v>2037</v>
      </c>
      <c r="J2092" s="47">
        <v>1000000</v>
      </c>
      <c r="K2092" s="16" t="s">
        <v>62</v>
      </c>
      <c r="L2092" s="3" t="s">
        <v>47</v>
      </c>
      <c r="M2092" s="3" t="s">
        <v>48</v>
      </c>
      <c r="N2092" s="3" t="s">
        <v>49</v>
      </c>
    </row>
    <row r="2093" spans="1:14" x14ac:dyDescent="0.3">
      <c r="A2093" s="36" t="s">
        <v>37</v>
      </c>
      <c r="B2093" s="13">
        <v>117</v>
      </c>
      <c r="C2093" s="48" t="str">
        <f t="shared" si="82"/>
        <v>P.L. 117-339</v>
      </c>
      <c r="D2093" s="3" t="s">
        <v>3824</v>
      </c>
      <c r="E2093" s="3" t="s">
        <v>3825</v>
      </c>
      <c r="F2093" s="3" t="s">
        <v>3848</v>
      </c>
      <c r="G2093" s="48" t="str">
        <f t="shared" si="83"/>
        <v>54 U.S.C. 320101(note)</v>
      </c>
      <c r="H2093" s="46">
        <v>50313</v>
      </c>
      <c r="I2093" s="13">
        <v>2037</v>
      </c>
      <c r="J2093" s="47">
        <v>1000000</v>
      </c>
      <c r="K2093" s="16" t="s">
        <v>62</v>
      </c>
      <c r="L2093" s="3" t="s">
        <v>47</v>
      </c>
      <c r="M2093" s="3" t="s">
        <v>48</v>
      </c>
      <c r="N2093" s="3" t="s">
        <v>49</v>
      </c>
    </row>
    <row r="2094" spans="1:14" x14ac:dyDescent="0.3">
      <c r="A2094" s="36" t="s">
        <v>37</v>
      </c>
      <c r="B2094" s="13">
        <v>117</v>
      </c>
      <c r="C2094" s="48" t="str">
        <f t="shared" si="82"/>
        <v>P.L. 117-339</v>
      </c>
      <c r="D2094" s="3" t="s">
        <v>3824</v>
      </c>
      <c r="E2094" s="3" t="s">
        <v>3825</v>
      </c>
      <c r="F2094" s="3" t="s">
        <v>3849</v>
      </c>
      <c r="G2094" s="48" t="str">
        <f t="shared" si="83"/>
        <v>54 U.S.C. 320101(note)</v>
      </c>
      <c r="H2094" s="46">
        <v>50313</v>
      </c>
      <c r="I2094" s="13">
        <v>2037</v>
      </c>
      <c r="J2094" s="47">
        <v>1000000</v>
      </c>
      <c r="K2094" s="16" t="s">
        <v>62</v>
      </c>
      <c r="L2094" s="3" t="s">
        <v>47</v>
      </c>
      <c r="M2094" s="3" t="s">
        <v>48</v>
      </c>
      <c r="N2094" s="3" t="s">
        <v>49</v>
      </c>
    </row>
    <row r="2095" spans="1:14" x14ac:dyDescent="0.3">
      <c r="A2095" s="36" t="s">
        <v>37</v>
      </c>
      <c r="B2095" s="13">
        <v>117</v>
      </c>
      <c r="C2095" s="48" t="str">
        <f t="shared" si="82"/>
        <v>P.L. 117-339</v>
      </c>
      <c r="D2095" s="3" t="s">
        <v>3824</v>
      </c>
      <c r="E2095" s="3" t="s">
        <v>3825</v>
      </c>
      <c r="F2095" s="3" t="s">
        <v>3850</v>
      </c>
      <c r="G2095" s="48" t="str">
        <f t="shared" si="83"/>
        <v>54 U.S.C. 320101(note)</v>
      </c>
      <c r="H2095" s="46">
        <v>50313</v>
      </c>
      <c r="I2095" s="13">
        <v>2037</v>
      </c>
      <c r="J2095" s="47">
        <v>1000000</v>
      </c>
      <c r="K2095" s="16" t="s">
        <v>62</v>
      </c>
      <c r="L2095" s="3" t="s">
        <v>47</v>
      </c>
      <c r="M2095" s="3" t="s">
        <v>48</v>
      </c>
      <c r="N2095" s="3" t="s">
        <v>49</v>
      </c>
    </row>
    <row r="2096" spans="1:14" x14ac:dyDescent="0.3">
      <c r="A2096" s="36" t="s">
        <v>37</v>
      </c>
      <c r="B2096" s="13">
        <v>117</v>
      </c>
      <c r="C2096" s="48" t="str">
        <f t="shared" si="82"/>
        <v>P.L. 117-339</v>
      </c>
      <c r="D2096" s="3" t="s">
        <v>3824</v>
      </c>
      <c r="E2096" s="3" t="s">
        <v>3825</v>
      </c>
      <c r="F2096" s="3" t="s">
        <v>3851</v>
      </c>
      <c r="G2096" s="48" t="str">
        <f t="shared" si="83"/>
        <v>54 U.S.C. 320101(note)</v>
      </c>
      <c r="H2096" s="46">
        <v>50313</v>
      </c>
      <c r="I2096" s="13">
        <v>2037</v>
      </c>
      <c r="J2096" s="47">
        <v>1000000</v>
      </c>
      <c r="K2096" s="16" t="s">
        <v>62</v>
      </c>
      <c r="L2096" s="3" t="s">
        <v>47</v>
      </c>
      <c r="M2096" s="3" t="s">
        <v>48</v>
      </c>
      <c r="N2096" s="3" t="s">
        <v>49</v>
      </c>
    </row>
    <row r="2097" spans="1:14" x14ac:dyDescent="0.3">
      <c r="A2097" s="36" t="s">
        <v>37</v>
      </c>
      <c r="B2097" s="13">
        <v>117</v>
      </c>
      <c r="C2097" s="48" t="str">
        <f t="shared" si="82"/>
        <v>P.L. 117-339</v>
      </c>
      <c r="D2097" s="3" t="s">
        <v>3824</v>
      </c>
      <c r="E2097" s="3" t="s">
        <v>3825</v>
      </c>
      <c r="F2097" s="3" t="s">
        <v>3852</v>
      </c>
      <c r="G2097" s="48" t="str">
        <f t="shared" si="83"/>
        <v>54 U.S.C. 320101(note)</v>
      </c>
      <c r="H2097" s="46">
        <v>50313</v>
      </c>
      <c r="I2097" s="13">
        <v>2037</v>
      </c>
      <c r="J2097" s="47">
        <v>1000000</v>
      </c>
      <c r="K2097" s="16" t="s">
        <v>62</v>
      </c>
      <c r="L2097" s="3" t="s">
        <v>47</v>
      </c>
      <c r="M2097" s="3" t="s">
        <v>48</v>
      </c>
      <c r="N2097" s="3" t="s">
        <v>49</v>
      </c>
    </row>
    <row r="2098" spans="1:14" x14ac:dyDescent="0.3">
      <c r="A2098" s="36" t="s">
        <v>37</v>
      </c>
      <c r="B2098" s="13">
        <v>117</v>
      </c>
      <c r="C2098" s="48" t="str">
        <f t="shared" si="82"/>
        <v>P.L. 117-339</v>
      </c>
      <c r="D2098" s="3" t="s">
        <v>3824</v>
      </c>
      <c r="E2098" s="3" t="s">
        <v>3825</v>
      </c>
      <c r="F2098" s="3" t="s">
        <v>3853</v>
      </c>
      <c r="G2098" s="48" t="str">
        <f t="shared" si="83"/>
        <v>54 U.S.C. 320101(note)</v>
      </c>
      <c r="H2098" s="46">
        <v>50313</v>
      </c>
      <c r="I2098" s="13">
        <v>2037</v>
      </c>
      <c r="J2098" s="47">
        <v>1000000</v>
      </c>
      <c r="K2098" s="16" t="s">
        <v>62</v>
      </c>
      <c r="L2098" s="3" t="s">
        <v>47</v>
      </c>
      <c r="M2098" s="3" t="s">
        <v>48</v>
      </c>
      <c r="N2098" s="3" t="s">
        <v>49</v>
      </c>
    </row>
    <row r="2099" spans="1:14" x14ac:dyDescent="0.3">
      <c r="A2099" s="36" t="s">
        <v>37</v>
      </c>
      <c r="B2099" s="13">
        <v>117</v>
      </c>
      <c r="C2099" s="48" t="str">
        <f t="shared" si="82"/>
        <v>P.L. 117-339</v>
      </c>
      <c r="D2099" s="3" t="s">
        <v>3824</v>
      </c>
      <c r="E2099" s="3" t="s">
        <v>3825</v>
      </c>
      <c r="F2099" s="3" t="s">
        <v>3854</v>
      </c>
      <c r="G2099" s="48" t="str">
        <f t="shared" si="83"/>
        <v>54 U.S.C. 320101(note)</v>
      </c>
      <c r="H2099" s="46">
        <v>50313</v>
      </c>
      <c r="I2099" s="13">
        <v>2037</v>
      </c>
      <c r="J2099" s="47">
        <v>1000000</v>
      </c>
      <c r="K2099" s="16" t="s">
        <v>62</v>
      </c>
      <c r="L2099" s="3" t="s">
        <v>47</v>
      </c>
      <c r="M2099" s="3" t="s">
        <v>48</v>
      </c>
      <c r="N2099" s="3" t="s">
        <v>49</v>
      </c>
    </row>
    <row r="2100" spans="1:14" x14ac:dyDescent="0.3">
      <c r="A2100" s="36" t="s">
        <v>37</v>
      </c>
      <c r="B2100" s="13">
        <v>117</v>
      </c>
      <c r="C2100" s="48" t="str">
        <f t="shared" si="82"/>
        <v>P.L. 117-339</v>
      </c>
      <c r="D2100" s="3" t="s">
        <v>3824</v>
      </c>
      <c r="E2100" s="3" t="s">
        <v>3825</v>
      </c>
      <c r="F2100" s="3" t="s">
        <v>3855</v>
      </c>
      <c r="G2100" s="48" t="str">
        <f t="shared" si="83"/>
        <v>54 U.S.C. 320101(note)</v>
      </c>
      <c r="H2100" s="46">
        <v>50313</v>
      </c>
      <c r="I2100" s="13">
        <v>2037</v>
      </c>
      <c r="J2100" s="47">
        <v>1000000</v>
      </c>
      <c r="K2100" s="16" t="s">
        <v>62</v>
      </c>
      <c r="L2100" s="3" t="s">
        <v>47</v>
      </c>
      <c r="M2100" s="3" t="s">
        <v>48</v>
      </c>
      <c r="N2100" s="3" t="s">
        <v>49</v>
      </c>
    </row>
    <row r="2101" spans="1:14" x14ac:dyDescent="0.3">
      <c r="A2101" s="36" t="s">
        <v>37</v>
      </c>
      <c r="B2101" s="13">
        <v>117</v>
      </c>
      <c r="C2101" s="48" t="str">
        <f t="shared" si="82"/>
        <v>P.L. 117-339</v>
      </c>
      <c r="D2101" s="3" t="s">
        <v>3824</v>
      </c>
      <c r="E2101" s="3" t="s">
        <v>3825</v>
      </c>
      <c r="F2101" s="3" t="s">
        <v>3856</v>
      </c>
      <c r="G2101" s="48" t="str">
        <f t="shared" si="83"/>
        <v>54 U.S.C. 320101(note)</v>
      </c>
      <c r="H2101" s="46">
        <v>50313</v>
      </c>
      <c r="I2101" s="13">
        <v>2037</v>
      </c>
      <c r="J2101" s="47">
        <v>1000000</v>
      </c>
      <c r="K2101" s="16" t="s">
        <v>62</v>
      </c>
      <c r="L2101" s="3" t="s">
        <v>47</v>
      </c>
      <c r="M2101" s="3" t="s">
        <v>48</v>
      </c>
      <c r="N2101" s="3" t="s">
        <v>49</v>
      </c>
    </row>
    <row r="2102" spans="1:14" x14ac:dyDescent="0.3">
      <c r="A2102" s="36" t="s">
        <v>37</v>
      </c>
      <c r="B2102" s="13">
        <v>117</v>
      </c>
      <c r="C2102" s="48" t="str">
        <f t="shared" si="82"/>
        <v>P.L. 117-339</v>
      </c>
      <c r="D2102" s="3" t="s">
        <v>3824</v>
      </c>
      <c r="E2102" s="3" t="s">
        <v>3825</v>
      </c>
      <c r="F2102" s="3" t="s">
        <v>3857</v>
      </c>
      <c r="G2102" s="48" t="str">
        <f t="shared" si="83"/>
        <v>54 U.S.C. 320101(note)</v>
      </c>
      <c r="H2102" s="46">
        <v>50313</v>
      </c>
      <c r="I2102" s="13">
        <v>2037</v>
      </c>
      <c r="J2102" s="47">
        <v>1000000</v>
      </c>
      <c r="K2102" s="16" t="s">
        <v>62</v>
      </c>
      <c r="L2102" s="3" t="s">
        <v>47</v>
      </c>
      <c r="M2102" s="3" t="s">
        <v>48</v>
      </c>
      <c r="N2102" s="3" t="s">
        <v>49</v>
      </c>
    </row>
    <row r="2103" spans="1:14" x14ac:dyDescent="0.3">
      <c r="A2103" s="36" t="s">
        <v>37</v>
      </c>
      <c r="B2103" s="13">
        <v>117</v>
      </c>
      <c r="C2103" s="48" t="str">
        <f t="shared" si="82"/>
        <v>P.L. 117-339</v>
      </c>
      <c r="D2103" s="3" t="s">
        <v>3824</v>
      </c>
      <c r="E2103" s="3" t="s">
        <v>3825</v>
      </c>
      <c r="F2103" s="3" t="s">
        <v>3858</v>
      </c>
      <c r="G2103" s="48" t="str">
        <f t="shared" si="83"/>
        <v>54 U.S.C. 320101(note)</v>
      </c>
      <c r="H2103" s="46">
        <v>50313</v>
      </c>
      <c r="I2103" s="13">
        <v>2037</v>
      </c>
      <c r="J2103" s="47">
        <v>1000000</v>
      </c>
      <c r="K2103" s="16" t="s">
        <v>62</v>
      </c>
      <c r="L2103" s="3" t="s">
        <v>47</v>
      </c>
      <c r="M2103" s="3" t="s">
        <v>48</v>
      </c>
      <c r="N2103" s="3" t="s">
        <v>49</v>
      </c>
    </row>
    <row r="2104" spans="1:14" x14ac:dyDescent="0.3">
      <c r="A2104" s="36" t="s">
        <v>37</v>
      </c>
      <c r="B2104" s="13">
        <v>117</v>
      </c>
      <c r="C2104" s="48" t="str">
        <f t="shared" si="82"/>
        <v>P.L. 117-339</v>
      </c>
      <c r="D2104" s="3" t="s">
        <v>3824</v>
      </c>
      <c r="E2104" s="3" t="s">
        <v>3825</v>
      </c>
      <c r="F2104" s="3" t="s">
        <v>3859</v>
      </c>
      <c r="G2104" s="48" t="str">
        <f t="shared" si="83"/>
        <v>54 U.S.C. 320101(note)</v>
      </c>
      <c r="H2104" s="46">
        <v>50313</v>
      </c>
      <c r="I2104" s="13">
        <v>2037</v>
      </c>
      <c r="J2104" s="47">
        <v>1000000</v>
      </c>
      <c r="K2104" s="16" t="s">
        <v>62</v>
      </c>
      <c r="L2104" s="3" t="s">
        <v>47</v>
      </c>
      <c r="M2104" s="3" t="s">
        <v>48</v>
      </c>
      <c r="N2104" s="3" t="s">
        <v>49</v>
      </c>
    </row>
    <row r="2105" spans="1:14" x14ac:dyDescent="0.3">
      <c r="A2105" s="36" t="s">
        <v>37</v>
      </c>
      <c r="B2105" s="13">
        <v>117</v>
      </c>
      <c r="C2105" s="48" t="str">
        <f t="shared" si="82"/>
        <v>P.L. 117-339</v>
      </c>
      <c r="D2105" s="3" t="s">
        <v>3824</v>
      </c>
      <c r="E2105" s="3" t="s">
        <v>3825</v>
      </c>
      <c r="F2105" s="3" t="s">
        <v>3860</v>
      </c>
      <c r="G2105" s="48" t="str">
        <f t="shared" si="83"/>
        <v>54 U.S.C. 320101(note)</v>
      </c>
      <c r="H2105" s="46">
        <v>50313</v>
      </c>
      <c r="I2105" s="13">
        <v>2037</v>
      </c>
      <c r="J2105" s="47">
        <v>1000000</v>
      </c>
      <c r="K2105" s="16" t="s">
        <v>62</v>
      </c>
      <c r="L2105" s="3" t="s">
        <v>47</v>
      </c>
      <c r="M2105" s="3" t="s">
        <v>48</v>
      </c>
      <c r="N2105" s="3" t="s">
        <v>49</v>
      </c>
    </row>
    <row r="2106" spans="1:14" x14ac:dyDescent="0.3">
      <c r="A2106" s="36" t="s">
        <v>37</v>
      </c>
      <c r="B2106" s="13">
        <v>117</v>
      </c>
      <c r="C2106" s="48" t="str">
        <f t="shared" si="82"/>
        <v>P.L. 117-339</v>
      </c>
      <c r="D2106" s="3" t="s">
        <v>3824</v>
      </c>
      <c r="E2106" s="3" t="s">
        <v>3825</v>
      </c>
      <c r="F2106" s="3" t="s">
        <v>3861</v>
      </c>
      <c r="G2106" s="48" t="str">
        <f t="shared" si="83"/>
        <v>54 U.S.C. 320101(note)</v>
      </c>
      <c r="H2106" s="46">
        <v>50313</v>
      </c>
      <c r="I2106" s="13">
        <v>2037</v>
      </c>
      <c r="J2106" s="47">
        <v>1000000</v>
      </c>
      <c r="K2106" s="16" t="s">
        <v>62</v>
      </c>
      <c r="L2106" s="3" t="s">
        <v>47</v>
      </c>
      <c r="M2106" s="3" t="s">
        <v>48</v>
      </c>
      <c r="N2106" s="3" t="s">
        <v>49</v>
      </c>
    </row>
    <row r="2107" spans="1:14" x14ac:dyDescent="0.3">
      <c r="A2107" s="36" t="s">
        <v>37</v>
      </c>
      <c r="B2107" s="13">
        <v>117</v>
      </c>
      <c r="C2107" s="48" t="str">
        <f t="shared" si="82"/>
        <v>P.L. 117-339</v>
      </c>
      <c r="D2107" s="3" t="s">
        <v>3824</v>
      </c>
      <c r="E2107" s="3" t="s">
        <v>3825</v>
      </c>
      <c r="F2107" s="3" t="s">
        <v>3862</v>
      </c>
      <c r="G2107" s="48" t="str">
        <f t="shared" si="83"/>
        <v>54 U.S.C. 320101(note)</v>
      </c>
      <c r="H2107" s="46">
        <v>50313</v>
      </c>
      <c r="I2107" s="13">
        <v>2037</v>
      </c>
      <c r="J2107" s="47">
        <v>1000000</v>
      </c>
      <c r="K2107" s="16" t="s">
        <v>62</v>
      </c>
      <c r="L2107" s="3" t="s">
        <v>47</v>
      </c>
      <c r="M2107" s="3" t="s">
        <v>48</v>
      </c>
      <c r="N2107" s="3" t="s">
        <v>49</v>
      </c>
    </row>
    <row r="2108" spans="1:14" x14ac:dyDescent="0.3">
      <c r="A2108" s="36" t="s">
        <v>37</v>
      </c>
      <c r="B2108" s="13">
        <v>117</v>
      </c>
      <c r="C2108" s="48" t="str">
        <f t="shared" si="82"/>
        <v>P.L. 117-339</v>
      </c>
      <c r="D2108" s="3" t="s">
        <v>3824</v>
      </c>
      <c r="E2108" s="3" t="s">
        <v>3825</v>
      </c>
      <c r="F2108" s="3" t="s">
        <v>3863</v>
      </c>
      <c r="G2108" s="48" t="str">
        <f t="shared" si="83"/>
        <v>54 U.S.C. 320101(note)</v>
      </c>
      <c r="H2108" s="46">
        <v>50313</v>
      </c>
      <c r="I2108" s="13">
        <v>2037</v>
      </c>
      <c r="J2108" s="47">
        <v>1000000</v>
      </c>
      <c r="K2108" s="16" t="s">
        <v>62</v>
      </c>
      <c r="L2108" s="3" t="s">
        <v>47</v>
      </c>
      <c r="M2108" s="3" t="s">
        <v>48</v>
      </c>
      <c r="N2108" s="3" t="s">
        <v>49</v>
      </c>
    </row>
    <row r="2109" spans="1:14" x14ac:dyDescent="0.3">
      <c r="A2109" s="36" t="s">
        <v>37</v>
      </c>
      <c r="B2109" s="13">
        <v>117</v>
      </c>
      <c r="C2109" s="48" t="str">
        <f t="shared" si="82"/>
        <v>P.L. 117-339</v>
      </c>
      <c r="D2109" s="3" t="s">
        <v>3824</v>
      </c>
      <c r="E2109" s="3" t="s">
        <v>3825</v>
      </c>
      <c r="F2109" s="3" t="s">
        <v>3864</v>
      </c>
      <c r="G2109" s="48" t="str">
        <f t="shared" si="83"/>
        <v>54 U.S.C. 320101(note)</v>
      </c>
      <c r="H2109" s="46">
        <v>50313</v>
      </c>
      <c r="I2109" s="13">
        <v>2037</v>
      </c>
      <c r="J2109" s="47">
        <v>1000000</v>
      </c>
      <c r="K2109" s="16" t="s">
        <v>62</v>
      </c>
      <c r="L2109" s="3" t="s">
        <v>47</v>
      </c>
      <c r="M2109" s="3" t="s">
        <v>48</v>
      </c>
      <c r="N2109" s="3" t="s">
        <v>49</v>
      </c>
    </row>
    <row r="2110" spans="1:14" x14ac:dyDescent="0.3">
      <c r="A2110" s="36" t="s">
        <v>37</v>
      </c>
      <c r="B2110" s="13">
        <v>117</v>
      </c>
      <c r="C2110" s="48" t="str">
        <f t="shared" si="82"/>
        <v>P.L. 117-339</v>
      </c>
      <c r="D2110" s="3" t="s">
        <v>3824</v>
      </c>
      <c r="E2110" s="3" t="s">
        <v>3825</v>
      </c>
      <c r="F2110" s="3" t="s">
        <v>3865</v>
      </c>
      <c r="G2110" s="48" t="str">
        <f t="shared" si="83"/>
        <v>54 U.S.C. 320101(note)</v>
      </c>
      <c r="H2110" s="46">
        <v>50313</v>
      </c>
      <c r="I2110" s="13">
        <v>2037</v>
      </c>
      <c r="J2110" s="47">
        <v>1000000</v>
      </c>
      <c r="K2110" s="16" t="s">
        <v>62</v>
      </c>
      <c r="L2110" s="3" t="s">
        <v>47</v>
      </c>
      <c r="M2110" s="3" t="s">
        <v>48</v>
      </c>
      <c r="N2110" s="3" t="s">
        <v>49</v>
      </c>
    </row>
    <row r="2111" spans="1:14" x14ac:dyDescent="0.3">
      <c r="A2111" s="36" t="s">
        <v>37</v>
      </c>
      <c r="B2111" s="13">
        <v>117</v>
      </c>
      <c r="C2111" s="48" t="str">
        <f t="shared" si="82"/>
        <v>P.L. 117-339</v>
      </c>
      <c r="D2111" s="3" t="s">
        <v>3824</v>
      </c>
      <c r="E2111" s="3" t="s">
        <v>3825</v>
      </c>
      <c r="F2111" s="3" t="s">
        <v>3866</v>
      </c>
      <c r="G2111" s="48" t="str">
        <f t="shared" si="83"/>
        <v>54 U.S.C. 320101(note)</v>
      </c>
      <c r="H2111" s="46">
        <v>50313</v>
      </c>
      <c r="I2111" s="13">
        <v>2037</v>
      </c>
      <c r="J2111" s="47">
        <v>1000000</v>
      </c>
      <c r="K2111" s="16" t="s">
        <v>62</v>
      </c>
      <c r="L2111" s="3" t="s">
        <v>47</v>
      </c>
      <c r="M2111" s="3" t="s">
        <v>48</v>
      </c>
      <c r="N2111" s="3" t="s">
        <v>49</v>
      </c>
    </row>
    <row r="2112" spans="1:14" x14ac:dyDescent="0.3">
      <c r="A2112" s="36" t="s">
        <v>37</v>
      </c>
      <c r="B2112" s="13">
        <v>117</v>
      </c>
      <c r="C2112" s="48" t="str">
        <f t="shared" si="82"/>
        <v>P.L. 117-339</v>
      </c>
      <c r="D2112" s="3" t="s">
        <v>3824</v>
      </c>
      <c r="E2112" s="3" t="s">
        <v>3825</v>
      </c>
      <c r="F2112" s="3" t="s">
        <v>3867</v>
      </c>
      <c r="G2112" s="48" t="str">
        <f t="shared" si="83"/>
        <v>54 U.S.C. 320101(note)</v>
      </c>
      <c r="H2112" s="46">
        <v>50313</v>
      </c>
      <c r="I2112" s="13">
        <v>2037</v>
      </c>
      <c r="J2112" s="47">
        <v>1000000</v>
      </c>
      <c r="K2112" s="16" t="s">
        <v>62</v>
      </c>
      <c r="L2112" s="3" t="s">
        <v>47</v>
      </c>
      <c r="M2112" s="3" t="s">
        <v>48</v>
      </c>
      <c r="N2112" s="3" t="s">
        <v>49</v>
      </c>
    </row>
    <row r="2113" spans="1:14" x14ac:dyDescent="0.3">
      <c r="A2113" s="36" t="s">
        <v>37</v>
      </c>
      <c r="B2113" s="13">
        <v>117</v>
      </c>
      <c r="C2113" s="48" t="str">
        <f t="shared" si="82"/>
        <v>P.L. 117-339</v>
      </c>
      <c r="D2113" s="3" t="s">
        <v>3824</v>
      </c>
      <c r="E2113" s="3" t="s">
        <v>3825</v>
      </c>
      <c r="F2113" s="3" t="s">
        <v>3868</v>
      </c>
      <c r="G2113" s="48" t="str">
        <f t="shared" si="83"/>
        <v>54 U.S.C. 320101(note)</v>
      </c>
      <c r="H2113" s="46">
        <v>50313</v>
      </c>
      <c r="I2113" s="13">
        <v>2037</v>
      </c>
      <c r="J2113" s="47">
        <v>1000000</v>
      </c>
      <c r="K2113" s="16" t="s">
        <v>62</v>
      </c>
      <c r="L2113" s="3" t="s">
        <v>47</v>
      </c>
      <c r="M2113" s="3" t="s">
        <v>48</v>
      </c>
      <c r="N2113" s="3" t="s">
        <v>49</v>
      </c>
    </row>
    <row r="2114" spans="1:14" x14ac:dyDescent="0.3">
      <c r="A2114" s="36" t="s">
        <v>37</v>
      </c>
      <c r="B2114" s="13">
        <v>117</v>
      </c>
      <c r="C2114" s="48" t="str">
        <f t="shared" si="82"/>
        <v>P.L. 117-339</v>
      </c>
      <c r="D2114" s="3" t="s">
        <v>3824</v>
      </c>
      <c r="E2114" s="3" t="s">
        <v>3825</v>
      </c>
      <c r="F2114" s="3" t="s">
        <v>3869</v>
      </c>
      <c r="G2114" s="48" t="str">
        <f t="shared" si="83"/>
        <v>54 U.S.C. 320101(note)</v>
      </c>
      <c r="H2114" s="46">
        <v>50313</v>
      </c>
      <c r="I2114" s="13">
        <v>2037</v>
      </c>
      <c r="J2114" s="47">
        <v>1000000</v>
      </c>
      <c r="K2114" s="16" t="s">
        <v>62</v>
      </c>
      <c r="L2114" s="3" t="s">
        <v>47</v>
      </c>
      <c r="M2114" s="3" t="s">
        <v>48</v>
      </c>
      <c r="N2114" s="3" t="s">
        <v>49</v>
      </c>
    </row>
    <row r="2115" spans="1:14" x14ac:dyDescent="0.3">
      <c r="A2115" s="36" t="s">
        <v>37</v>
      </c>
      <c r="B2115" s="13">
        <v>117</v>
      </c>
      <c r="C2115" s="48" t="str">
        <f t="shared" si="82"/>
        <v>P.L. 117-339</v>
      </c>
      <c r="D2115" s="3" t="s">
        <v>3824</v>
      </c>
      <c r="E2115" s="3" t="s">
        <v>3825</v>
      </c>
      <c r="F2115" s="3" t="s">
        <v>3870</v>
      </c>
      <c r="G2115" s="48" t="str">
        <f t="shared" si="83"/>
        <v>54 U.S.C. 320101(note)</v>
      </c>
      <c r="H2115" s="46">
        <v>50313</v>
      </c>
      <c r="I2115" s="13">
        <v>2037</v>
      </c>
      <c r="J2115" s="47">
        <v>1000000</v>
      </c>
      <c r="K2115" s="16" t="s">
        <v>62</v>
      </c>
      <c r="L2115" s="3" t="s">
        <v>47</v>
      </c>
      <c r="M2115" s="3" t="s">
        <v>48</v>
      </c>
      <c r="N2115" s="3" t="s">
        <v>49</v>
      </c>
    </row>
    <row r="2116" spans="1:14" x14ac:dyDescent="0.3">
      <c r="A2116" s="36" t="s">
        <v>37</v>
      </c>
      <c r="B2116" s="13">
        <v>117</v>
      </c>
      <c r="C2116" s="48" t="str">
        <f t="shared" ref="C2116:C2123" si="84">HYPERLINK("https://uscode.house.gov/statutes/pl/117/347.pdf", "P.L. 117-347")</f>
        <v>P.L. 117-347</v>
      </c>
      <c r="D2116" s="3" t="s">
        <v>3871</v>
      </c>
      <c r="E2116" s="3" t="s">
        <v>3872</v>
      </c>
      <c r="F2116" s="3" t="s">
        <v>3873</v>
      </c>
      <c r="G2116" s="48" t="str">
        <f>HYPERLINK("https://uscode.house.gov/view.xhtml?req=granuleid:USC-prelim-title22-section7110&amp;num=0&amp;edition=prelim", "22 U.S.C. 7110(b)(3)")</f>
        <v>22 U.S.C. 7110(b)(3)</v>
      </c>
      <c r="H2116" s="46">
        <v>46660</v>
      </c>
      <c r="I2116" s="13">
        <v>2027</v>
      </c>
      <c r="J2116" s="47">
        <v>4000000</v>
      </c>
      <c r="K2116" s="16" t="s">
        <v>62</v>
      </c>
      <c r="L2116" s="3" t="s">
        <v>41</v>
      </c>
      <c r="M2116" s="3" t="s">
        <v>42</v>
      </c>
      <c r="N2116" s="3" t="s">
        <v>72</v>
      </c>
    </row>
    <row r="2117" spans="1:14" x14ac:dyDescent="0.3">
      <c r="A2117" s="36" t="s">
        <v>37</v>
      </c>
      <c r="B2117" s="13">
        <v>117</v>
      </c>
      <c r="C2117" s="48" t="str">
        <f t="shared" si="84"/>
        <v>P.L. 117-347</v>
      </c>
      <c r="D2117" s="3" t="s">
        <v>3871</v>
      </c>
      <c r="E2117" s="3" t="s">
        <v>3874</v>
      </c>
      <c r="F2117" s="3" t="s">
        <v>3875</v>
      </c>
      <c r="G2117" s="49"/>
      <c r="H2117" s="46">
        <v>46660</v>
      </c>
      <c r="I2117" s="13">
        <v>2027</v>
      </c>
      <c r="J2117" s="47">
        <v>2000000</v>
      </c>
      <c r="K2117" s="16" t="s">
        <v>62</v>
      </c>
      <c r="L2117" s="3" t="s">
        <v>41</v>
      </c>
      <c r="M2117" s="3" t="s">
        <v>42</v>
      </c>
      <c r="N2117" s="3" t="s">
        <v>43</v>
      </c>
    </row>
    <row r="2118" spans="1:14" x14ac:dyDescent="0.3">
      <c r="A2118" s="36" t="s">
        <v>37</v>
      </c>
      <c r="B2118" s="13">
        <v>117</v>
      </c>
      <c r="C2118" s="48" t="str">
        <f t="shared" si="84"/>
        <v>P.L. 117-347</v>
      </c>
      <c r="D2118" s="3" t="s">
        <v>3871</v>
      </c>
      <c r="E2118" s="3" t="s">
        <v>3876</v>
      </c>
      <c r="F2118" s="3" t="s">
        <v>3877</v>
      </c>
      <c r="G2118" s="49"/>
      <c r="H2118" s="46">
        <v>46660</v>
      </c>
      <c r="I2118" s="13">
        <v>2027</v>
      </c>
      <c r="J2118" s="47">
        <v>2000000</v>
      </c>
      <c r="K2118" s="16" t="s">
        <v>62</v>
      </c>
      <c r="L2118" s="3" t="s">
        <v>41</v>
      </c>
      <c r="M2118" s="3" t="s">
        <v>42</v>
      </c>
      <c r="N2118" s="3" t="s">
        <v>122</v>
      </c>
    </row>
    <row r="2119" spans="1:14" x14ac:dyDescent="0.3">
      <c r="A2119" s="36" t="s">
        <v>37</v>
      </c>
      <c r="B2119" s="13">
        <v>117</v>
      </c>
      <c r="C2119" s="48" t="str">
        <f t="shared" si="84"/>
        <v>P.L. 117-347</v>
      </c>
      <c r="D2119" s="3" t="s">
        <v>3871</v>
      </c>
      <c r="E2119" s="3" t="s">
        <v>3878</v>
      </c>
      <c r="F2119" s="3" t="s">
        <v>3879</v>
      </c>
      <c r="G2119" s="49"/>
      <c r="H2119" s="46">
        <v>46660</v>
      </c>
      <c r="I2119" s="13">
        <v>2027</v>
      </c>
      <c r="J2119" s="47">
        <v>250000</v>
      </c>
      <c r="K2119" s="16" t="s">
        <v>62</v>
      </c>
      <c r="L2119" s="3" t="s">
        <v>109</v>
      </c>
      <c r="M2119" s="3" t="s">
        <v>148</v>
      </c>
      <c r="N2119" s="3" t="s">
        <v>158</v>
      </c>
    </row>
    <row r="2120" spans="1:14" x14ac:dyDescent="0.3">
      <c r="A2120" s="36" t="s">
        <v>37</v>
      </c>
      <c r="B2120" s="13">
        <v>117</v>
      </c>
      <c r="C2120" s="48" t="str">
        <f t="shared" si="84"/>
        <v>P.L. 117-347</v>
      </c>
      <c r="D2120" s="3" t="s">
        <v>3871</v>
      </c>
      <c r="E2120" s="3" t="s">
        <v>3880</v>
      </c>
      <c r="F2120" s="3" t="s">
        <v>3881</v>
      </c>
      <c r="G2120" s="48" t="str">
        <f>HYPERLINK("https://uscode.house.gov/view.xhtml?req=granuleid:USC-prelim-title22-section7109a&amp;num=0&amp;edition=prelim", "22 U.S.C. 7109a(b)(4)")</f>
        <v>22 U.S.C. 7109a(b)(4)</v>
      </c>
      <c r="H2120" s="46">
        <v>46660</v>
      </c>
      <c r="I2120" s="13">
        <v>2027</v>
      </c>
      <c r="J2120" s="47">
        <v>1000000</v>
      </c>
      <c r="K2120" s="16" t="s">
        <v>62</v>
      </c>
      <c r="L2120" s="3" t="s">
        <v>41</v>
      </c>
      <c r="M2120" s="3" t="s">
        <v>42</v>
      </c>
      <c r="N2120" s="3" t="s">
        <v>43</v>
      </c>
    </row>
    <row r="2121" spans="1:14" x14ac:dyDescent="0.3">
      <c r="A2121" s="36" t="s">
        <v>37</v>
      </c>
      <c r="B2121" s="13">
        <v>117</v>
      </c>
      <c r="C2121" s="48" t="str">
        <f t="shared" si="84"/>
        <v>P.L. 117-347</v>
      </c>
      <c r="D2121" s="3" t="s">
        <v>3871</v>
      </c>
      <c r="E2121" s="3" t="s">
        <v>3882</v>
      </c>
      <c r="F2121" s="3" t="s">
        <v>3883</v>
      </c>
      <c r="G2121" s="48" t="str">
        <f>HYPERLINK("https://uscode.house.gov/view.xhtml?req=granuleid:USC-prelim-title22-section7109b&amp;num=0&amp;edition=prelim", "22 U.S.C. 7109b(d)")</f>
        <v>22 U.S.C. 7109b(d)</v>
      </c>
      <c r="H2121" s="46">
        <v>46660</v>
      </c>
      <c r="I2121" s="13">
        <v>2027</v>
      </c>
      <c r="J2121" s="16" t="s">
        <v>12</v>
      </c>
      <c r="K2121" s="16" t="s">
        <v>62</v>
      </c>
      <c r="L2121" s="3" t="s">
        <v>80</v>
      </c>
      <c r="M2121" s="3" t="s">
        <v>81</v>
      </c>
      <c r="N2121" s="3" t="s">
        <v>82</v>
      </c>
    </row>
    <row r="2122" spans="1:14" x14ac:dyDescent="0.3">
      <c r="A2122" s="36" t="s">
        <v>37</v>
      </c>
      <c r="B2122" s="13">
        <v>117</v>
      </c>
      <c r="C2122" s="48" t="str">
        <f t="shared" si="84"/>
        <v>P.L. 117-347</v>
      </c>
      <c r="D2122" s="3" t="s">
        <v>3871</v>
      </c>
      <c r="E2122" s="3" t="s">
        <v>3884</v>
      </c>
      <c r="F2122" s="3" t="s">
        <v>3885</v>
      </c>
      <c r="G2122" s="48" t="str">
        <f>HYPERLINK("https://uscode.house.gov/view.xhtml?req=granuleid:USC-prelim-title22-section7110&amp;num=0&amp;edition=prelim", "22 U.S.C. 7110(e)(3)")</f>
        <v>22 U.S.C. 7110(e)(3)</v>
      </c>
      <c r="H2122" s="46">
        <v>46660</v>
      </c>
      <c r="I2122" s="13">
        <v>2027</v>
      </c>
      <c r="J2122" s="47">
        <v>2000000</v>
      </c>
      <c r="K2122" s="16" t="s">
        <v>62</v>
      </c>
      <c r="L2122" s="3" t="s">
        <v>80</v>
      </c>
      <c r="M2122" s="3" t="s">
        <v>81</v>
      </c>
      <c r="N2122" s="3" t="s">
        <v>82</v>
      </c>
    </row>
    <row r="2123" spans="1:14" x14ac:dyDescent="0.3">
      <c r="A2123" s="36" t="s">
        <v>37</v>
      </c>
      <c r="B2123" s="13">
        <v>117</v>
      </c>
      <c r="C2123" s="48" t="str">
        <f t="shared" si="84"/>
        <v>P.L. 117-347</v>
      </c>
      <c r="D2123" s="3" t="s">
        <v>3871</v>
      </c>
      <c r="E2123" s="3" t="s">
        <v>3886</v>
      </c>
      <c r="F2123" s="3" t="s">
        <v>3887</v>
      </c>
      <c r="G2123" s="48" t="str">
        <f>HYPERLINK("https://uscode.house.gov/view.xhtml?req=granuleid:USC-prelim-title34-section20985&amp;num=0&amp;edition=prelim", "34 U.S.C. 20985(d)")</f>
        <v>34 U.S.C. 20985(d)</v>
      </c>
      <c r="H2123" s="46">
        <v>46660</v>
      </c>
      <c r="I2123" s="13">
        <v>2027</v>
      </c>
      <c r="J2123" s="47">
        <v>3000000</v>
      </c>
      <c r="K2123" s="16" t="s">
        <v>62</v>
      </c>
      <c r="L2123" s="3" t="s">
        <v>41</v>
      </c>
      <c r="M2123" s="3" t="s">
        <v>42</v>
      </c>
      <c r="N2123" s="3" t="s">
        <v>43</v>
      </c>
    </row>
    <row r="2124" spans="1:14" x14ac:dyDescent="0.3">
      <c r="A2124" s="36" t="s">
        <v>37</v>
      </c>
      <c r="B2124" s="13">
        <v>117</v>
      </c>
      <c r="C2124" s="48" t="str">
        <f>HYPERLINK("https://uscode.house.gov/statutes/pl/117/348.pdf", "P.L. 117-348")</f>
        <v>P.L. 117-348</v>
      </c>
      <c r="D2124" s="3" t="s">
        <v>3888</v>
      </c>
      <c r="E2124" s="3" t="s">
        <v>3889</v>
      </c>
      <c r="F2124" s="3" t="s">
        <v>3890</v>
      </c>
      <c r="G2124" s="48" t="str">
        <f>HYPERLINK("https://uscode.house.gov/view.xhtml?req=granuleid:USC-prelim-title22-section7110&amp;num=0&amp;edition=prelim", "22 U.S.C. 7110(b)(2)")</f>
        <v>22 U.S.C. 7110(b)(2)</v>
      </c>
      <c r="H2124" s="46">
        <v>47026</v>
      </c>
      <c r="I2124" s="13">
        <v>2028</v>
      </c>
      <c r="J2124" s="47">
        <v>8000000</v>
      </c>
      <c r="K2124" s="16" t="s">
        <v>62</v>
      </c>
      <c r="L2124" s="3" t="s">
        <v>41</v>
      </c>
      <c r="M2124" s="3" t="s">
        <v>42</v>
      </c>
      <c r="N2124" s="3" t="s">
        <v>72</v>
      </c>
    </row>
    <row r="2125" spans="1:14" x14ac:dyDescent="0.3">
      <c r="A2125" s="36" t="s">
        <v>37</v>
      </c>
      <c r="B2125" s="13">
        <v>117</v>
      </c>
      <c r="C2125" s="48" t="str">
        <f>HYPERLINK("https://uscode.house.gov/statutes/pl/117/348.pdf", "P.L. 117-348")</f>
        <v>P.L. 117-348</v>
      </c>
      <c r="D2125" s="3" t="s">
        <v>3888</v>
      </c>
      <c r="E2125" s="3" t="s">
        <v>1176</v>
      </c>
      <c r="F2125" s="3" t="s">
        <v>3891</v>
      </c>
      <c r="G2125" s="48" t="str">
        <f>HYPERLINK("https://uscode.house.gov/view.xhtml?req=granuleid:USC-prelim-title22-section7110&amp;num=0&amp;edition=prelim", "22 U.S.C. 7110(d)(3)")</f>
        <v>22 U.S.C. 7110(d)(3)</v>
      </c>
      <c r="H2125" s="46">
        <v>47026</v>
      </c>
      <c r="I2125" s="13">
        <v>2028</v>
      </c>
      <c r="J2125" s="47">
        <v>11000000</v>
      </c>
      <c r="K2125" s="16" t="s">
        <v>62</v>
      </c>
      <c r="L2125" s="3" t="s">
        <v>41</v>
      </c>
      <c r="M2125" s="3" t="s">
        <v>42</v>
      </c>
      <c r="N2125" s="3" t="s">
        <v>43</v>
      </c>
    </row>
    <row r="2126" spans="1:14" x14ac:dyDescent="0.3">
      <c r="A2126" s="36" t="s">
        <v>37</v>
      </c>
      <c r="B2126" s="13">
        <v>116</v>
      </c>
      <c r="C2126" s="48" t="str">
        <f>HYPERLINK("https://uscode.house.gov/statutes/pl/116/260.pdf", "P.L. 116-260")</f>
        <v>P.L. 116-260</v>
      </c>
      <c r="D2126" s="3" t="s">
        <v>2758</v>
      </c>
      <c r="E2126" s="3" t="s">
        <v>2799</v>
      </c>
      <c r="F2126" s="3" t="s">
        <v>2800</v>
      </c>
      <c r="G2126" s="49"/>
      <c r="H2126" s="46">
        <v>48852</v>
      </c>
      <c r="I2126" s="13">
        <v>2033</v>
      </c>
      <c r="J2126" s="16" t="s">
        <v>12</v>
      </c>
      <c r="K2126" s="16" t="s">
        <v>62</v>
      </c>
      <c r="L2126" s="3" t="s">
        <v>130</v>
      </c>
      <c r="M2126" s="3" t="s">
        <v>71</v>
      </c>
      <c r="N2126" s="3" t="s">
        <v>72</v>
      </c>
    </row>
    <row r="2127" spans="1:14" x14ac:dyDescent="0.3">
      <c r="A2127" s="36" t="s">
        <v>37</v>
      </c>
      <c r="B2127" s="13">
        <v>117</v>
      </c>
      <c r="C2127" s="48" t="str">
        <f>HYPERLINK("https://uscode.house.gov/statutes/pl/117/348.pdf", "P.L. 117-348")</f>
        <v>P.L. 117-348</v>
      </c>
      <c r="D2127" s="3" t="s">
        <v>3888</v>
      </c>
      <c r="E2127" s="3" t="s">
        <v>3894</v>
      </c>
      <c r="F2127" s="3" t="s">
        <v>3895</v>
      </c>
      <c r="G2127" s="48" t="str">
        <f>HYPERLINK("https://uscode.house.gov/view.xhtml?req=granuleid:USC-prelim-title22-section7110&amp;num=0&amp;edition=prelim", "22 U.S.C. 7110(i)")</f>
        <v>22 U.S.C. 7110(i)</v>
      </c>
      <c r="H2127" s="46">
        <v>47026</v>
      </c>
      <c r="I2127" s="13">
        <v>2028</v>
      </c>
      <c r="J2127" s="47">
        <v>10000000</v>
      </c>
      <c r="K2127" s="16" t="s">
        <v>62</v>
      </c>
      <c r="L2127" s="3" t="s">
        <v>41</v>
      </c>
      <c r="M2127" s="3" t="s">
        <v>230</v>
      </c>
      <c r="N2127" s="3" t="s">
        <v>122</v>
      </c>
    </row>
    <row r="2128" spans="1:14" x14ac:dyDescent="0.3">
      <c r="A2128" s="36" t="s">
        <v>37</v>
      </c>
      <c r="B2128" s="13">
        <v>117</v>
      </c>
      <c r="C2128" s="48" t="str">
        <f>HYPERLINK("https://uscode.house.gov/statutes/pl/117/348.pdf", "P.L. 117-348")</f>
        <v>P.L. 117-348</v>
      </c>
      <c r="D2128" s="3" t="s">
        <v>3888</v>
      </c>
      <c r="E2128" s="3" t="s">
        <v>173</v>
      </c>
      <c r="F2128" s="3" t="s">
        <v>3896</v>
      </c>
      <c r="G2128" s="49"/>
      <c r="H2128" s="46">
        <v>47026</v>
      </c>
      <c r="I2128" s="13">
        <v>2028</v>
      </c>
      <c r="J2128" s="47">
        <v>20000000</v>
      </c>
      <c r="K2128" s="16" t="s">
        <v>62</v>
      </c>
      <c r="L2128" s="3" t="s">
        <v>642</v>
      </c>
      <c r="M2128" s="3" t="s">
        <v>230</v>
      </c>
      <c r="N2128" s="3" t="s">
        <v>122</v>
      </c>
    </row>
    <row r="2129" spans="1:14" x14ac:dyDescent="0.3">
      <c r="A2129" s="36" t="s">
        <v>37</v>
      </c>
      <c r="B2129" s="13">
        <v>117</v>
      </c>
      <c r="C2129" s="48" t="str">
        <f>HYPERLINK("https://uscode.house.gov/statutes/pl/117/350.pdf", "P.L. 117-350")</f>
        <v>P.L. 117-350</v>
      </c>
      <c r="D2129" s="3" t="s">
        <v>3897</v>
      </c>
      <c r="E2129" s="3" t="s">
        <v>2493</v>
      </c>
      <c r="F2129" s="3" t="s">
        <v>3898</v>
      </c>
      <c r="G2129" s="48" t="str">
        <f>HYPERLINK("https://uscode.house.gov/view.xhtml?req=granuleid:USC-prelim-title42-section285a-11&amp;num=0&amp;edition=prelim", "42 U.S.C. 285a-11")</f>
        <v>42 U.S.C. 285a-11</v>
      </c>
      <c r="H2129" s="46">
        <v>47026</v>
      </c>
      <c r="I2129" s="13">
        <v>2028</v>
      </c>
      <c r="J2129" s="47">
        <v>30000000</v>
      </c>
      <c r="K2129" s="16" t="s">
        <v>62</v>
      </c>
      <c r="L2129" s="3" t="s">
        <v>60</v>
      </c>
      <c r="M2129" s="3" t="s">
        <v>71</v>
      </c>
      <c r="N2129" s="3" t="s">
        <v>72</v>
      </c>
    </row>
    <row r="2130" spans="1:14" x14ac:dyDescent="0.3">
      <c r="A2130" s="36" t="s">
        <v>37</v>
      </c>
      <c r="B2130" s="13">
        <v>117</v>
      </c>
      <c r="C2130" s="48" t="str">
        <f>HYPERLINK("https://uscode.house.gov/statutes/pl/117/354.pdf", "P.L. 117-354")</f>
        <v>P.L. 117-354</v>
      </c>
      <c r="D2130" s="3" t="s">
        <v>3899</v>
      </c>
      <c r="E2130" s="3" t="s">
        <v>296</v>
      </c>
      <c r="F2130" s="3" t="s">
        <v>3900</v>
      </c>
      <c r="G2130" s="49"/>
      <c r="H2130" s="46">
        <v>47026</v>
      </c>
      <c r="I2130" s="13">
        <v>2028</v>
      </c>
      <c r="J2130" s="47">
        <v>40000000</v>
      </c>
      <c r="K2130" s="16" t="s">
        <v>62</v>
      </c>
      <c r="L2130" s="3" t="s">
        <v>41</v>
      </c>
      <c r="M2130" s="3" t="s">
        <v>42</v>
      </c>
      <c r="N2130" s="3" t="s">
        <v>43</v>
      </c>
    </row>
    <row r="2131" spans="1:14" x14ac:dyDescent="0.3">
      <c r="A2131" s="36" t="s">
        <v>37</v>
      </c>
      <c r="B2131" s="13">
        <v>117</v>
      </c>
      <c r="C2131" s="48" t="str">
        <f>HYPERLINK("https://uscode.house.gov/statutes/pl/117/356.pdf", "P.L. 117-356")</f>
        <v>P.L. 117-356</v>
      </c>
      <c r="D2131" s="3" t="s">
        <v>3901</v>
      </c>
      <c r="F2131" s="3" t="s">
        <v>3902</v>
      </c>
      <c r="G2131" s="48" t="str">
        <f>HYPERLINK("https://uscode.house.gov/view.xhtml?req=granuleid:USC-prelim-title42-section254r&amp;num=0&amp;edition=prelim", "42 U.S.C. 254r")</f>
        <v>42 U.S.C. 254r</v>
      </c>
      <c r="H2131" s="46">
        <v>46660</v>
      </c>
      <c r="I2131" s="13">
        <v>2027</v>
      </c>
      <c r="J2131" s="47">
        <v>12500000</v>
      </c>
      <c r="K2131" s="16" t="s">
        <v>62</v>
      </c>
      <c r="L2131" s="3" t="s">
        <v>60</v>
      </c>
      <c r="M2131" s="3" t="s">
        <v>71</v>
      </c>
      <c r="N2131" s="3" t="s">
        <v>72</v>
      </c>
    </row>
  </sheetData>
  <autoFilter ref="A6:N2131" xr:uid="{00000000-0009-0000-0000-000002000000}"/>
  <mergeCells count="1">
    <mergeCell ref="A2:E2"/>
  </mergeCells>
  <hyperlinks>
    <hyperlink ref="A2" r:id="rId1" xr:uid="{51F358E5-B4FF-4A70-B659-BC6A5B8EA719}"/>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47"/>
  <sheetViews>
    <sheetView zoomScaleNormal="100" workbookViewId="0"/>
  </sheetViews>
  <sheetFormatPr defaultColWidth="9.08984375" defaultRowHeight="15" customHeight="1" x14ac:dyDescent="0.3"/>
  <cols>
    <col min="1" max="1" width="19.54296875" style="3" customWidth="1"/>
    <col min="2" max="2" width="109.453125" style="3" customWidth="1"/>
    <col min="3" max="4" width="9.08984375" style="3"/>
    <col min="5" max="5" width="94.453125" style="3" bestFit="1" customWidth="1"/>
    <col min="6" max="16384" width="9.08984375" style="3"/>
  </cols>
  <sheetData>
    <row r="1" spans="1:13" ht="15" customHeight="1" x14ac:dyDescent="0.3">
      <c r="A1" s="1" t="s">
        <v>3923</v>
      </c>
      <c r="B1" s="2"/>
      <c r="C1" s="2"/>
      <c r="D1" s="2"/>
      <c r="E1" s="2"/>
    </row>
    <row r="2" spans="1:13" ht="15" customHeight="1" x14ac:dyDescent="0.3">
      <c r="A2" s="62" t="s">
        <v>3908</v>
      </c>
      <c r="B2" s="62"/>
    </row>
    <row r="4" spans="1:13" ht="15" customHeight="1" x14ac:dyDescent="0.3">
      <c r="A4" s="6" t="s">
        <v>29</v>
      </c>
      <c r="B4" s="6"/>
      <c r="C4" s="7"/>
      <c r="D4" s="7"/>
      <c r="E4" s="7"/>
      <c r="F4" s="7"/>
      <c r="G4" s="7"/>
      <c r="H4" s="7"/>
      <c r="I4" s="7"/>
      <c r="J4" s="7"/>
      <c r="K4" s="7"/>
      <c r="L4" s="7"/>
      <c r="M4" s="7"/>
    </row>
    <row r="6" spans="1:13" ht="15" customHeight="1" x14ac:dyDescent="0.3">
      <c r="A6" s="70" t="s">
        <v>16</v>
      </c>
      <c r="B6" s="63" t="s">
        <v>21</v>
      </c>
    </row>
    <row r="7" spans="1:13" ht="15" customHeight="1" x14ac:dyDescent="0.3">
      <c r="A7" s="63"/>
      <c r="B7" s="63"/>
    </row>
    <row r="8" spans="1:13" ht="15" customHeight="1" x14ac:dyDescent="0.3">
      <c r="A8" s="37"/>
      <c r="B8" s="8"/>
      <c r="C8" s="8"/>
      <c r="D8" s="8"/>
      <c r="E8" s="50"/>
      <c r="F8" s="8"/>
      <c r="G8" s="8"/>
      <c r="H8" s="8"/>
      <c r="I8" s="8"/>
      <c r="J8" s="8"/>
      <c r="K8" s="8"/>
      <c r="L8" s="8"/>
      <c r="M8" s="8"/>
    </row>
    <row r="9" spans="1:13" ht="15" customHeight="1" x14ac:dyDescent="0.3">
      <c r="A9" s="64" t="s">
        <v>3919</v>
      </c>
      <c r="B9" s="63" t="s">
        <v>3912</v>
      </c>
      <c r="E9" s="51"/>
    </row>
    <row r="10" spans="1:13" ht="15" customHeight="1" x14ac:dyDescent="0.3">
      <c r="A10" s="64"/>
      <c r="B10" s="63"/>
      <c r="E10" s="52"/>
    </row>
    <row r="11" spans="1:13" ht="15" customHeight="1" x14ac:dyDescent="0.3">
      <c r="A11" s="64"/>
      <c r="B11" s="63"/>
      <c r="E11" s="51"/>
    </row>
    <row r="12" spans="1:13" ht="15" customHeight="1" x14ac:dyDescent="0.3">
      <c r="A12" s="69"/>
      <c r="B12" s="63"/>
    </row>
    <row r="13" spans="1:13" ht="15" customHeight="1" x14ac:dyDescent="0.3">
      <c r="A13" s="37"/>
      <c r="B13" s="8"/>
      <c r="C13" s="8"/>
      <c r="D13" s="8"/>
      <c r="E13" s="8"/>
      <c r="F13" s="8"/>
      <c r="G13" s="8"/>
      <c r="H13" s="8"/>
      <c r="I13" s="8"/>
      <c r="J13" s="8"/>
      <c r="K13" s="8"/>
      <c r="L13" s="8"/>
      <c r="M13" s="8"/>
    </row>
    <row r="14" spans="1:13" ht="15" customHeight="1" x14ac:dyDescent="0.3">
      <c r="A14" s="70" t="s">
        <v>15</v>
      </c>
      <c r="B14" s="69" t="s">
        <v>22</v>
      </c>
    </row>
    <row r="15" spans="1:13" ht="15" customHeight="1" x14ac:dyDescent="0.3">
      <c r="A15" s="63"/>
      <c r="B15" s="63"/>
    </row>
    <row r="16" spans="1:13" ht="15" customHeight="1" x14ac:dyDescent="0.3">
      <c r="A16" s="37"/>
      <c r="B16" s="8"/>
      <c r="C16" s="8"/>
      <c r="D16" s="8"/>
      <c r="E16" s="8"/>
      <c r="F16" s="8"/>
      <c r="G16" s="8"/>
      <c r="H16" s="8"/>
      <c r="I16" s="8"/>
      <c r="J16" s="8"/>
      <c r="K16" s="8"/>
      <c r="L16" s="8"/>
      <c r="M16" s="8"/>
    </row>
    <row r="17" spans="1:13" ht="15" customHeight="1" x14ac:dyDescent="0.3">
      <c r="A17" s="66" t="s">
        <v>14</v>
      </c>
      <c r="B17" s="68" t="s">
        <v>18</v>
      </c>
    </row>
    <row r="18" spans="1:13" ht="15" customHeight="1" x14ac:dyDescent="0.3">
      <c r="A18" s="67"/>
      <c r="B18" s="68"/>
    </row>
    <row r="19" spans="1:13" ht="15" customHeight="1" x14ac:dyDescent="0.3">
      <c r="A19" s="67"/>
      <c r="B19" s="68"/>
    </row>
    <row r="20" spans="1:13" ht="15" customHeight="1" x14ac:dyDescent="0.3">
      <c r="A20" s="67"/>
      <c r="B20" s="68"/>
    </row>
    <row r="21" spans="1:13" ht="15" customHeight="1" x14ac:dyDescent="0.3">
      <c r="A21" s="37"/>
      <c r="B21" s="8"/>
      <c r="C21" s="8"/>
      <c r="D21" s="8"/>
      <c r="E21" s="8"/>
      <c r="F21" s="8"/>
      <c r="G21" s="8"/>
      <c r="H21" s="8"/>
      <c r="I21" s="8"/>
      <c r="J21" s="8"/>
      <c r="K21" s="8"/>
      <c r="L21" s="8"/>
      <c r="M21" s="8"/>
    </row>
    <row r="22" spans="1:13" ht="15" customHeight="1" x14ac:dyDescent="0.3">
      <c r="A22" s="66" t="s">
        <v>11</v>
      </c>
      <c r="B22" s="68" t="s">
        <v>3907</v>
      </c>
    </row>
    <row r="23" spans="1:13" ht="29.25" customHeight="1" x14ac:dyDescent="0.3">
      <c r="A23" s="67"/>
      <c r="B23" s="68"/>
    </row>
    <row r="24" spans="1:13" ht="15" customHeight="1" x14ac:dyDescent="0.3">
      <c r="A24" s="37"/>
      <c r="B24" s="8"/>
      <c r="C24" s="8"/>
      <c r="D24" s="8"/>
      <c r="E24" s="8"/>
      <c r="F24" s="8"/>
      <c r="G24" s="8"/>
      <c r="H24" s="8"/>
      <c r="I24" s="8"/>
      <c r="J24" s="8"/>
      <c r="K24" s="8"/>
      <c r="L24" s="8"/>
      <c r="M24" s="8"/>
    </row>
    <row r="25" spans="1:13" ht="15" customHeight="1" x14ac:dyDescent="0.3">
      <c r="A25" s="38" t="s">
        <v>0</v>
      </c>
      <c r="B25" s="8" t="s">
        <v>34</v>
      </c>
    </row>
    <row r="26" spans="1:13" ht="15" customHeight="1" x14ac:dyDescent="0.3">
      <c r="A26" s="39"/>
      <c r="B26" s="9"/>
      <c r="C26" s="9"/>
      <c r="D26" s="9"/>
      <c r="E26" s="9"/>
      <c r="F26" s="9"/>
      <c r="G26" s="9"/>
      <c r="H26" s="9"/>
      <c r="I26" s="9"/>
      <c r="J26" s="9"/>
      <c r="K26" s="9"/>
      <c r="L26" s="9"/>
      <c r="M26" s="9"/>
    </row>
    <row r="27" spans="1:13" ht="15" customHeight="1" x14ac:dyDescent="0.3">
      <c r="A27" s="70" t="s">
        <v>5</v>
      </c>
      <c r="B27" s="63" t="s">
        <v>35</v>
      </c>
    </row>
    <row r="28" spans="1:13" ht="15" customHeight="1" x14ac:dyDescent="0.3">
      <c r="A28" s="70"/>
      <c r="B28" s="63"/>
    </row>
    <row r="29" spans="1:13" ht="15" customHeight="1" x14ac:dyDescent="0.3">
      <c r="A29" s="40"/>
      <c r="B29" s="9"/>
      <c r="C29" s="9"/>
      <c r="D29" s="9"/>
      <c r="E29" s="9"/>
      <c r="F29" s="9"/>
      <c r="G29" s="9"/>
      <c r="H29" s="9"/>
      <c r="I29" s="9"/>
      <c r="J29" s="9"/>
      <c r="K29" s="9"/>
      <c r="L29" s="9"/>
      <c r="M29" s="9"/>
    </row>
    <row r="30" spans="1:13" ht="15" customHeight="1" x14ac:dyDescent="0.3">
      <c r="A30" s="70" t="s">
        <v>17</v>
      </c>
      <c r="B30" s="63" t="s">
        <v>3913</v>
      </c>
    </row>
    <row r="31" spans="1:13" ht="15" customHeight="1" x14ac:dyDescent="0.3">
      <c r="A31" s="63"/>
      <c r="B31" s="63"/>
    </row>
    <row r="32" spans="1:13" ht="15" customHeight="1" x14ac:dyDescent="0.3">
      <c r="A32" s="63"/>
      <c r="B32" s="63"/>
    </row>
    <row r="33" spans="1:13" ht="15" customHeight="1" x14ac:dyDescent="0.3">
      <c r="A33" s="37"/>
      <c r="B33" s="8"/>
      <c r="C33" s="8"/>
      <c r="D33" s="8"/>
      <c r="E33" s="8"/>
      <c r="F33" s="8"/>
      <c r="G33" s="8"/>
      <c r="H33" s="8"/>
      <c r="I33" s="8"/>
      <c r="J33" s="8"/>
      <c r="K33" s="8"/>
      <c r="L33" s="8"/>
      <c r="M33" s="8"/>
    </row>
    <row r="34" spans="1:13" ht="15" customHeight="1" x14ac:dyDescent="0.3">
      <c r="A34" s="64" t="s">
        <v>12</v>
      </c>
      <c r="B34" s="63" t="s">
        <v>19</v>
      </c>
    </row>
    <row r="35" spans="1:13" ht="15" customHeight="1" x14ac:dyDescent="0.3">
      <c r="A35" s="64"/>
      <c r="B35" s="63"/>
    </row>
    <row r="36" spans="1:13" ht="15" customHeight="1" x14ac:dyDescent="0.3">
      <c r="A36" s="40"/>
      <c r="B36" s="9"/>
      <c r="C36" s="9"/>
      <c r="D36" s="9"/>
      <c r="E36" s="9"/>
      <c r="F36" s="9"/>
      <c r="G36" s="9"/>
      <c r="H36" s="9"/>
      <c r="I36" s="9"/>
      <c r="J36" s="9"/>
      <c r="K36" s="9"/>
      <c r="L36" s="9"/>
      <c r="M36" s="9"/>
    </row>
    <row r="37" spans="1:13" ht="15" customHeight="1" x14ac:dyDescent="0.3">
      <c r="A37" s="70" t="s">
        <v>20</v>
      </c>
      <c r="B37" s="73" t="s">
        <v>3914</v>
      </c>
    </row>
    <row r="38" spans="1:13" ht="15" customHeight="1" x14ac:dyDescent="0.3">
      <c r="A38" s="70"/>
      <c r="B38" s="73"/>
    </row>
    <row r="39" spans="1:13" ht="15" customHeight="1" x14ac:dyDescent="0.3">
      <c r="A39" s="70"/>
      <c r="B39" s="73"/>
    </row>
    <row r="40" spans="1:13" ht="15" customHeight="1" x14ac:dyDescent="0.3">
      <c r="A40" s="70"/>
      <c r="B40" s="73"/>
    </row>
    <row r="41" spans="1:13" ht="15" customHeight="1" x14ac:dyDescent="0.3">
      <c r="A41" s="10"/>
      <c r="B41" s="11"/>
      <c r="C41" s="9"/>
      <c r="D41" s="9"/>
      <c r="E41" s="9"/>
      <c r="F41" s="9"/>
      <c r="G41" s="9"/>
      <c r="H41" s="9"/>
      <c r="I41" s="9"/>
      <c r="J41" s="9"/>
      <c r="K41" s="9"/>
      <c r="L41" s="9"/>
      <c r="M41" s="9"/>
    </row>
    <row r="42" spans="1:13" ht="15" customHeight="1" x14ac:dyDescent="0.3">
      <c r="B42" s="65"/>
      <c r="C42" s="65"/>
      <c r="D42" s="65"/>
      <c r="E42" s="65"/>
      <c r="F42" s="65"/>
      <c r="G42" s="65"/>
      <c r="H42" s="65"/>
    </row>
    <row r="43" spans="1:13" ht="15" customHeight="1" x14ac:dyDescent="0.3">
      <c r="A43" s="71" t="s">
        <v>3910</v>
      </c>
      <c r="B43" s="72"/>
      <c r="E43" s="51"/>
    </row>
    <row r="44" spans="1:13" ht="15" customHeight="1" x14ac:dyDescent="0.3">
      <c r="A44" s="43"/>
      <c r="B44" s="44"/>
      <c r="E44" s="51"/>
    </row>
    <row r="45" spans="1:13" ht="15" customHeight="1" x14ac:dyDescent="0.3">
      <c r="A45" s="3" t="s">
        <v>31</v>
      </c>
      <c r="E45" s="51"/>
    </row>
    <row r="46" spans="1:13" ht="15" customHeight="1" x14ac:dyDescent="0.3">
      <c r="A46" s="58" t="s">
        <v>3909</v>
      </c>
      <c r="B46" s="59"/>
      <c r="E46" s="52"/>
    </row>
    <row r="47" spans="1:13" ht="15" customHeight="1" x14ac:dyDescent="0.3">
      <c r="A47" s="41"/>
      <c r="B47" s="41"/>
      <c r="E47" s="51"/>
    </row>
  </sheetData>
  <mergeCells count="22">
    <mergeCell ref="A46:B46"/>
    <mergeCell ref="A2:B2"/>
    <mergeCell ref="A9:A12"/>
    <mergeCell ref="B9:B12"/>
    <mergeCell ref="A6:A7"/>
    <mergeCell ref="B6:B7"/>
    <mergeCell ref="A17:A20"/>
    <mergeCell ref="B17:B20"/>
    <mergeCell ref="A43:B43"/>
    <mergeCell ref="A14:A15"/>
    <mergeCell ref="B14:B15"/>
    <mergeCell ref="A30:A32"/>
    <mergeCell ref="B30:B32"/>
    <mergeCell ref="A37:A40"/>
    <mergeCell ref="B37:B40"/>
    <mergeCell ref="A27:A28"/>
    <mergeCell ref="B27:B28"/>
    <mergeCell ref="A34:A35"/>
    <mergeCell ref="B34:B35"/>
    <mergeCell ref="B42:H42"/>
    <mergeCell ref="A22:A23"/>
    <mergeCell ref="B22:B23"/>
  </mergeCells>
  <hyperlinks>
    <hyperlink ref="A43:B43" r:id="rId1" display="For a glossary of common budgetary and economic terms, see www.cbo.gov/publication/42904." xr:uid="{00000000-0004-0000-0300-000000000000}"/>
    <hyperlink ref="A2" r:id="rId2" xr:uid="{1508012D-8BC0-4A43-8090-8A003C4F1DC9}"/>
    <hyperlink ref="A46" r:id="rId3" xr:uid="{C5F29FE3-39C2-45B1-8A5B-2C54D014B712}"/>
  </hyperlinks>
  <pageMargins left="0.7" right="0.7" top="0.75" bottom="0.75" header="0.3" footer="0.3"/>
  <pageSetup scale="66"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1. Instructions</vt:lpstr>
      <vt:lpstr>2. LCS Detail 2023</vt:lpstr>
      <vt:lpstr>3. Definitions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Backup Detail for CBO 2018 Revised Expired and Expiring Authoriazations of Appropriations Report</dc:title>
  <dc:creator>Olivia Yang</dc:creator>
  <cp:lastModifiedBy>Christine Browne</cp:lastModifiedBy>
  <dcterms:created xsi:type="dcterms:W3CDTF">2018-06-18T18:59:08Z</dcterms:created>
  <dcterms:modified xsi:type="dcterms:W3CDTF">2023-04-26T18:06:22Z</dcterms:modified>
</cp:coreProperties>
</file>